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/>
  <bookViews>
    <workbookView xWindow="120" yWindow="105" windowWidth="10515" windowHeight="8430"/>
  </bookViews>
  <sheets>
    <sheet name="Verfinsterungen" sheetId="5" r:id="rId1"/>
    <sheet name="Bahnen" sheetId="15" r:id="rId2"/>
  </sheets>
  <calcPr calcId="145621"/>
</workbook>
</file>

<file path=xl/calcChain.xml><?xml version="1.0" encoding="utf-8"?>
<calcChain xmlns="http://schemas.openxmlformats.org/spreadsheetml/2006/main">
  <c r="H45" i="15" l="1"/>
  <c r="J45" i="15" s="1"/>
  <c r="F45" i="15"/>
  <c r="E45" i="15"/>
  <c r="H44" i="15"/>
  <c r="J44" i="15" s="1"/>
  <c r="F44" i="15"/>
  <c r="E44" i="15"/>
  <c r="H43" i="15"/>
  <c r="J43" i="15" s="1"/>
  <c r="F43" i="15"/>
  <c r="E43" i="15"/>
  <c r="H42" i="15"/>
  <c r="J42" i="15" s="1"/>
  <c r="F42" i="15"/>
  <c r="E42" i="15"/>
  <c r="H41" i="15"/>
  <c r="J41" i="15" s="1"/>
  <c r="F41" i="15"/>
  <c r="E41" i="15"/>
  <c r="H40" i="15"/>
  <c r="J40" i="15" s="1"/>
  <c r="F40" i="15"/>
  <c r="E40" i="15"/>
  <c r="H39" i="15"/>
  <c r="J39" i="15" s="1"/>
  <c r="F39" i="15"/>
  <c r="E39" i="15"/>
  <c r="H38" i="15"/>
  <c r="J38" i="15" s="1"/>
  <c r="F38" i="15"/>
  <c r="E38" i="15"/>
  <c r="H37" i="15"/>
  <c r="J37" i="15" s="1"/>
  <c r="F37" i="15"/>
  <c r="E37" i="15"/>
  <c r="H36" i="15"/>
  <c r="J36" i="15" s="1"/>
  <c r="F36" i="15"/>
  <c r="E36" i="15"/>
  <c r="H35" i="15"/>
  <c r="J35" i="15" s="1"/>
  <c r="F35" i="15"/>
  <c r="E35" i="15"/>
  <c r="H34" i="15"/>
  <c r="J34" i="15" s="1"/>
  <c r="J50" i="15" s="1"/>
  <c r="F34" i="15"/>
  <c r="J49" i="15" s="1"/>
  <c r="E34" i="15"/>
  <c r="I49" i="15" s="1"/>
  <c r="H33" i="15"/>
  <c r="J33" i="15" s="1"/>
  <c r="F33" i="15"/>
  <c r="E33" i="15"/>
  <c r="H32" i="15"/>
  <c r="J32" i="15" s="1"/>
  <c r="F32" i="15"/>
  <c r="E32" i="15"/>
  <c r="H31" i="15"/>
  <c r="J31" i="15" s="1"/>
  <c r="F31" i="15"/>
  <c r="E31" i="15"/>
  <c r="H30" i="15"/>
  <c r="J30" i="15" s="1"/>
  <c r="F30" i="15"/>
  <c r="E30" i="15"/>
  <c r="H29" i="15"/>
  <c r="J29" i="15" s="1"/>
  <c r="F29" i="15"/>
  <c r="E29" i="15"/>
  <c r="H28" i="15"/>
  <c r="J28" i="15" s="1"/>
  <c r="F28" i="15"/>
  <c r="E28" i="15"/>
  <c r="H27" i="15"/>
  <c r="J27" i="15" s="1"/>
  <c r="F27" i="15"/>
  <c r="E27" i="15"/>
  <c r="H26" i="15"/>
  <c r="J26" i="15" s="1"/>
  <c r="F26" i="15"/>
  <c r="E26" i="15"/>
  <c r="H25" i="15"/>
  <c r="J25" i="15" s="1"/>
  <c r="H50" i="15" s="1"/>
  <c r="F25" i="15"/>
  <c r="D50" i="15" s="1"/>
  <c r="E25" i="15"/>
  <c r="C50" i="15" s="1"/>
  <c r="H24" i="15"/>
  <c r="J24" i="15" s="1"/>
  <c r="F24" i="15"/>
  <c r="E24" i="15"/>
  <c r="H23" i="15"/>
  <c r="J23" i="15" s="1"/>
  <c r="F23" i="15"/>
  <c r="E23" i="15"/>
  <c r="H22" i="15"/>
  <c r="J22" i="15" s="1"/>
  <c r="F22" i="15"/>
  <c r="E22" i="15"/>
  <c r="H21" i="15"/>
  <c r="J21" i="15" s="1"/>
  <c r="F21" i="15"/>
  <c r="E21" i="15"/>
  <c r="H20" i="15"/>
  <c r="J20" i="15" s="1"/>
  <c r="F20" i="15"/>
  <c r="E20" i="15"/>
  <c r="N19" i="15"/>
  <c r="N20" i="15" s="1"/>
  <c r="H19" i="15"/>
  <c r="J19" i="15" s="1"/>
  <c r="F19" i="15"/>
  <c r="E19" i="15"/>
  <c r="Q18" i="15"/>
  <c r="H18" i="15"/>
  <c r="J18" i="15" s="1"/>
  <c r="F18" i="15"/>
  <c r="E18" i="15"/>
  <c r="H17" i="15"/>
  <c r="J17" i="15" s="1"/>
  <c r="F17" i="15"/>
  <c r="E17" i="15"/>
  <c r="H16" i="15"/>
  <c r="J16" i="15" s="1"/>
  <c r="F16" i="15"/>
  <c r="E16" i="15"/>
  <c r="H15" i="15"/>
  <c r="J15" i="15" s="1"/>
  <c r="F15" i="15"/>
  <c r="E15" i="15"/>
  <c r="H14" i="15"/>
  <c r="J14" i="15" s="1"/>
  <c r="F14" i="15"/>
  <c r="E14" i="15"/>
  <c r="H13" i="15"/>
  <c r="J13" i="15" s="1"/>
  <c r="F13" i="15"/>
  <c r="E13" i="15"/>
  <c r="H12" i="15"/>
  <c r="J12" i="15" s="1"/>
  <c r="J48" i="15" s="1"/>
  <c r="F12" i="15"/>
  <c r="E48" i="15" s="1"/>
  <c r="E12" i="15"/>
  <c r="D48" i="15" s="1"/>
  <c r="H11" i="15"/>
  <c r="J11" i="15" s="1"/>
  <c r="F11" i="15"/>
  <c r="E11" i="15"/>
  <c r="P10" i="15"/>
  <c r="O10" i="15"/>
  <c r="H10" i="15"/>
  <c r="J10" i="15" s="1"/>
  <c r="F10" i="15"/>
  <c r="E10" i="15"/>
  <c r="H9" i="15"/>
  <c r="J9" i="15" s="1"/>
  <c r="F9" i="15"/>
  <c r="E9" i="15"/>
  <c r="P8" i="15"/>
  <c r="H8" i="15"/>
  <c r="J8" i="15" s="1"/>
  <c r="F8" i="15"/>
  <c r="E8" i="15"/>
  <c r="P7" i="15"/>
  <c r="H7" i="15"/>
  <c r="J7" i="15" s="1"/>
  <c r="F7" i="15"/>
  <c r="E7" i="15"/>
  <c r="B7" i="15"/>
  <c r="B8" i="15" s="1"/>
  <c r="B9" i="15" s="1"/>
  <c r="B10" i="15" s="1"/>
  <c r="B11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6" i="15" s="1"/>
  <c r="B27" i="15" s="1"/>
  <c r="B28" i="15" s="1"/>
  <c r="B29" i="15" s="1"/>
  <c r="B30" i="15" s="1"/>
  <c r="B31" i="15" s="1"/>
  <c r="B32" i="15" s="1"/>
  <c r="B33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P6" i="15"/>
  <c r="H6" i="15"/>
  <c r="J6" i="15" s="1"/>
  <c r="P5" i="15" s="1"/>
  <c r="F6" i="15"/>
  <c r="P9" i="15" s="1"/>
  <c r="E6" i="15"/>
  <c r="O9" i="15" s="1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R18" i="15" l="1"/>
  <c r="N21" i="15"/>
  <c r="O21" i="15" s="1"/>
  <c r="R20" i="15"/>
  <c r="Q20" i="15"/>
  <c r="I6" i="15"/>
  <c r="O5" i="15" s="1"/>
  <c r="I7" i="15"/>
  <c r="I8" i="15"/>
  <c r="I9" i="15"/>
  <c r="I10" i="15"/>
  <c r="I11" i="15"/>
  <c r="I12" i="15"/>
  <c r="I13" i="15"/>
  <c r="I14" i="15"/>
  <c r="I15" i="15"/>
  <c r="I16" i="15"/>
  <c r="I17" i="15"/>
  <c r="I18" i="15"/>
  <c r="O18" i="15"/>
  <c r="P18" i="15"/>
  <c r="I19" i="15"/>
  <c r="O19" i="15"/>
  <c r="P19" i="15"/>
  <c r="Q19" i="15"/>
  <c r="R19" i="15"/>
  <c r="I20" i="15"/>
  <c r="O20" i="15"/>
  <c r="P20" i="15"/>
  <c r="I21" i="15"/>
  <c r="P21" i="15"/>
  <c r="I22" i="15"/>
  <c r="I23" i="15"/>
  <c r="I24" i="15"/>
  <c r="I25" i="15"/>
  <c r="G50" i="15" s="1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O6" i="15" s="1"/>
  <c r="I47" i="15"/>
  <c r="J47" i="15"/>
  <c r="G49" i="15"/>
  <c r="H49" i="15"/>
  <c r="I50" i="15" l="1"/>
  <c r="O7" i="15"/>
  <c r="I48" i="15"/>
  <c r="O8" i="15"/>
  <c r="N22" i="15"/>
  <c r="R21" i="15"/>
  <c r="Q21" i="15"/>
  <c r="N23" i="15" l="1"/>
  <c r="R22" i="15"/>
  <c r="Q22" i="15"/>
  <c r="O22" i="15"/>
  <c r="P22" i="15"/>
  <c r="N24" i="15" l="1"/>
  <c r="R23" i="15"/>
  <c r="Q23" i="15"/>
  <c r="O23" i="15"/>
  <c r="P23" i="15"/>
  <c r="N25" i="15" l="1"/>
  <c r="R24" i="15"/>
  <c r="Q24" i="15"/>
  <c r="O24" i="15"/>
  <c r="P24" i="15"/>
  <c r="N26" i="15" l="1"/>
  <c r="O25" i="15"/>
  <c r="P25" i="15"/>
  <c r="Q25" i="15"/>
  <c r="R25" i="15"/>
  <c r="N27" i="15" l="1"/>
  <c r="O26" i="15"/>
  <c r="P26" i="15"/>
  <c r="Q26" i="15"/>
  <c r="R26" i="15"/>
  <c r="N28" i="15" l="1"/>
  <c r="O27" i="15"/>
  <c r="P27" i="15"/>
  <c r="Q27" i="15"/>
  <c r="R27" i="15"/>
  <c r="O28" i="15" l="1"/>
  <c r="P28" i="15"/>
  <c r="Q28" i="15"/>
  <c r="R28" i="15"/>
  <c r="D22" i="5" l="1"/>
  <c r="H70" i="5" l="1"/>
  <c r="D19" i="5" l="1"/>
  <c r="D20" i="5"/>
  <c r="D21" i="5"/>
  <c r="L88" i="5" l="1"/>
  <c r="D80" i="5" l="1"/>
  <c r="D81" i="5"/>
  <c r="D17" i="5" l="1"/>
  <c r="D15" i="5"/>
  <c r="D18" i="5"/>
  <c r="D82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58" i="5"/>
  <c r="D54" i="5"/>
  <c r="G54" i="5" s="1"/>
  <c r="D57" i="5"/>
  <c r="D56" i="5"/>
  <c r="D55" i="5"/>
  <c r="D7" i="5"/>
  <c r="D8" i="5"/>
  <c r="D9" i="5"/>
  <c r="D10" i="5"/>
  <c r="D11" i="5"/>
  <c r="D12" i="5"/>
  <c r="D13" i="5"/>
  <c r="D14" i="5"/>
  <c r="D16" i="5"/>
  <c r="D5" i="5"/>
  <c r="G5" i="5" s="1"/>
  <c r="D6" i="5"/>
  <c r="H12" i="5" l="1"/>
  <c r="H11" i="5"/>
  <c r="H10" i="5"/>
  <c r="A7" i="5" l="1"/>
  <c r="A8" i="5"/>
  <c r="A9" i="5"/>
  <c r="A10" i="5"/>
  <c r="A11" i="5"/>
  <c r="A12" i="5"/>
  <c r="A13" i="5"/>
  <c r="A14" i="5"/>
  <c r="A15" i="5"/>
  <c r="A16" i="5"/>
  <c r="A17" i="5"/>
  <c r="F17" i="5" s="1"/>
  <c r="A18" i="5"/>
  <c r="A19" i="5"/>
  <c r="A21" i="5"/>
  <c r="F21" i="5" s="1"/>
  <c r="G21" i="5" s="1"/>
  <c r="I21" i="5" s="1"/>
  <c r="A57" i="5"/>
  <c r="A64" i="5"/>
  <c r="A62" i="5"/>
  <c r="A60" i="5"/>
  <c r="A58" i="5"/>
  <c r="A66" i="5"/>
  <c r="A56" i="5"/>
  <c r="A65" i="5"/>
  <c r="A63" i="5"/>
  <c r="A61" i="5"/>
  <c r="A59" i="5"/>
  <c r="H54" i="5"/>
  <c r="H55" i="5"/>
  <c r="H56" i="5"/>
  <c r="H57" i="5"/>
  <c r="H58" i="5"/>
  <c r="H59" i="5"/>
  <c r="H60" i="5"/>
  <c r="H61" i="5"/>
  <c r="H62" i="5"/>
  <c r="H63" i="5"/>
  <c r="H64" i="5"/>
  <c r="H66" i="5"/>
  <c r="H67" i="5"/>
  <c r="H68" i="5"/>
  <c r="H69" i="5"/>
  <c r="H71" i="5"/>
  <c r="H73" i="5"/>
  <c r="H74" i="5"/>
  <c r="H76" i="5"/>
  <c r="H78" i="5"/>
  <c r="H79" i="5"/>
  <c r="H81" i="5"/>
  <c r="F15" i="5" l="1"/>
  <c r="G15" i="5" s="1"/>
  <c r="E58" i="5"/>
  <c r="N58" i="5" s="1"/>
  <c r="F14" i="5"/>
  <c r="G14" i="5" s="1"/>
  <c r="I14" i="5" s="1"/>
  <c r="E59" i="5"/>
  <c r="N59" i="5" s="1"/>
  <c r="F13" i="5"/>
  <c r="G13" i="5" s="1"/>
  <c r="I13" i="5" s="1"/>
  <c r="E9" i="5"/>
  <c r="M9" i="5" s="1"/>
  <c r="F11" i="5"/>
  <c r="G11" i="5" s="1"/>
  <c r="I11" i="5" s="1"/>
  <c r="F16" i="5"/>
  <c r="G16" i="5" s="1"/>
  <c r="I16" i="5" s="1"/>
  <c r="E8" i="5"/>
  <c r="N8" i="5" s="1"/>
  <c r="E15" i="5"/>
  <c r="M15" i="5" s="1"/>
  <c r="F12" i="5"/>
  <c r="G12" i="5" s="1"/>
  <c r="I12" i="5" s="1"/>
  <c r="F7" i="5"/>
  <c r="G7" i="5" s="1"/>
  <c r="F19" i="5"/>
  <c r="G19" i="5" s="1"/>
  <c r="I19" i="5" s="1"/>
  <c r="E19" i="5"/>
  <c r="M19" i="5" s="1"/>
  <c r="E63" i="5"/>
  <c r="N63" i="5" s="1"/>
  <c r="E62" i="5"/>
  <c r="N62" i="5" s="1"/>
  <c r="O8" i="5"/>
  <c r="E57" i="5"/>
  <c r="N57" i="5" s="1"/>
  <c r="O16" i="5"/>
  <c r="E66" i="5"/>
  <c r="N66" i="5" s="1"/>
  <c r="E65" i="5"/>
  <c r="M65" i="5" s="1"/>
  <c r="E11" i="5"/>
  <c r="M11" i="5" s="1"/>
  <c r="E61" i="5"/>
  <c r="M61" i="5" s="1"/>
  <c r="F8" i="5"/>
  <c r="G8" i="5" s="1"/>
  <c r="F18" i="5"/>
  <c r="F10" i="5"/>
  <c r="K88" i="5"/>
  <c r="F9" i="5"/>
  <c r="E16" i="5"/>
  <c r="N16" i="5" s="1"/>
  <c r="E13" i="5"/>
  <c r="N13" i="5" s="1"/>
  <c r="E60" i="5"/>
  <c r="N60" i="5" s="1"/>
  <c r="F59" i="5"/>
  <c r="G59" i="5" s="1"/>
  <c r="I59" i="5" s="1"/>
  <c r="F61" i="5"/>
  <c r="G61" i="5" s="1"/>
  <c r="I61" i="5" s="1"/>
  <c r="E64" i="5"/>
  <c r="N64" i="5" s="1"/>
  <c r="F63" i="5"/>
  <c r="G63" i="5" s="1"/>
  <c r="I63" i="5" s="1"/>
  <c r="F65" i="5"/>
  <c r="G65" i="5" s="1"/>
  <c r="I65" i="5" s="1"/>
  <c r="F56" i="5"/>
  <c r="G56" i="5" s="1"/>
  <c r="F66" i="5"/>
  <c r="G66" i="5" s="1"/>
  <c r="I66" i="5" s="1"/>
  <c r="F58" i="5"/>
  <c r="G58" i="5" s="1"/>
  <c r="F60" i="5"/>
  <c r="G60" i="5" s="1"/>
  <c r="I60" i="5" s="1"/>
  <c r="F62" i="5"/>
  <c r="G62" i="5" s="1"/>
  <c r="I62" i="5" s="1"/>
  <c r="F64" i="5"/>
  <c r="G64" i="5" s="1"/>
  <c r="I64" i="5" s="1"/>
  <c r="F57" i="5"/>
  <c r="G57" i="5" s="1"/>
  <c r="O18" i="5"/>
  <c r="O19" i="5"/>
  <c r="O15" i="5"/>
  <c r="O13" i="5"/>
  <c r="O11" i="5"/>
  <c r="O17" i="5"/>
  <c r="O14" i="5"/>
  <c r="O12" i="5"/>
  <c r="O9" i="5"/>
  <c r="E17" i="5"/>
  <c r="O10" i="5"/>
  <c r="E18" i="5"/>
  <c r="E14" i="5"/>
  <c r="E12" i="5"/>
  <c r="E10" i="5"/>
  <c r="F22" i="5" l="1"/>
  <c r="I15" i="5"/>
  <c r="L62" i="5"/>
  <c r="J62" i="5" s="1"/>
  <c r="L14" i="5"/>
  <c r="J14" i="5" s="1"/>
  <c r="L12" i="5"/>
  <c r="J12" i="5" s="1"/>
  <c r="K12" i="5"/>
  <c r="L16" i="5"/>
  <c r="K16" i="5" s="1"/>
  <c r="L11" i="5"/>
  <c r="K11" i="5" s="1"/>
  <c r="M58" i="5"/>
  <c r="M8" i="5"/>
  <c r="M62" i="5"/>
  <c r="N15" i="5"/>
  <c r="N9" i="5"/>
  <c r="M66" i="5"/>
  <c r="M59" i="5"/>
  <c r="M63" i="5"/>
  <c r="M13" i="5"/>
  <c r="N61" i="5"/>
  <c r="G9" i="5"/>
  <c r="G10" i="5"/>
  <c r="I10" i="5" s="1"/>
  <c r="G18" i="5"/>
  <c r="I18" i="5" s="1"/>
  <c r="N19" i="5"/>
  <c r="M57" i="5"/>
  <c r="N11" i="5"/>
  <c r="N65" i="5"/>
  <c r="M60" i="5"/>
  <c r="M16" i="5"/>
  <c r="M64" i="5"/>
  <c r="A67" i="5"/>
  <c r="M12" i="5"/>
  <c r="N12" i="5"/>
  <c r="N18" i="5"/>
  <c r="M18" i="5"/>
  <c r="M17" i="5"/>
  <c r="N17" i="5"/>
  <c r="M10" i="5"/>
  <c r="N10" i="5"/>
  <c r="N14" i="5"/>
  <c r="M14" i="5"/>
  <c r="I9" i="5" l="1"/>
  <c r="L9" i="5" s="1"/>
  <c r="L64" i="5"/>
  <c r="J64" i="5" s="1"/>
  <c r="L66" i="5"/>
  <c r="J66" i="5" s="1"/>
  <c r="L59" i="5"/>
  <c r="J59" i="5" s="1"/>
  <c r="L65" i="5"/>
  <c r="J65" i="5" s="1"/>
  <c r="L63" i="5"/>
  <c r="J63" i="5" s="1"/>
  <c r="L61" i="5"/>
  <c r="K61" i="5" s="1"/>
  <c r="K62" i="5"/>
  <c r="L60" i="5"/>
  <c r="J60" i="5" s="1"/>
  <c r="J16" i="5"/>
  <c r="L21" i="5"/>
  <c r="J21" i="5" s="1"/>
  <c r="L13" i="5"/>
  <c r="J13" i="5" s="1"/>
  <c r="L18" i="5"/>
  <c r="K18" i="5" s="1"/>
  <c r="J11" i="5"/>
  <c r="K14" i="5"/>
  <c r="L19" i="5"/>
  <c r="J19" i="5" s="1"/>
  <c r="L10" i="5"/>
  <c r="K10" i="5" s="1"/>
  <c r="L15" i="5"/>
  <c r="J15" i="5" s="1"/>
  <c r="F67" i="5"/>
  <c r="G67" i="5" s="1"/>
  <c r="I67" i="5" s="1"/>
  <c r="A68" i="5"/>
  <c r="E67" i="5"/>
  <c r="O58" i="5"/>
  <c r="O62" i="5"/>
  <c r="O66" i="5"/>
  <c r="O57" i="5"/>
  <c r="O61" i="5"/>
  <c r="O65" i="5"/>
  <c r="O60" i="5"/>
  <c r="O64" i="5"/>
  <c r="O59" i="5"/>
  <c r="O63" i="5"/>
  <c r="O67" i="5"/>
  <c r="J9" i="5" l="1"/>
  <c r="K9" i="5"/>
  <c r="K66" i="5"/>
  <c r="K65" i="5"/>
  <c r="K60" i="5"/>
  <c r="K59" i="5"/>
  <c r="J61" i="5"/>
  <c r="K63" i="5"/>
  <c r="K64" i="5"/>
  <c r="J18" i="5"/>
  <c r="J10" i="5"/>
  <c r="K21" i="5"/>
  <c r="K15" i="5"/>
  <c r="K19" i="5"/>
  <c r="K13" i="5"/>
  <c r="F68" i="5"/>
  <c r="G68" i="5" s="1"/>
  <c r="I68" i="5" s="1"/>
  <c r="N67" i="5"/>
  <c r="M67" i="5"/>
  <c r="A69" i="5"/>
  <c r="E68" i="5"/>
  <c r="L67" i="5" l="1"/>
  <c r="J67" i="5" s="1"/>
  <c r="E69" i="5"/>
  <c r="F69" i="5"/>
  <c r="G69" i="5" s="1"/>
  <c r="I69" i="5" s="1"/>
  <c r="A70" i="5"/>
  <c r="L68" i="5" l="1"/>
  <c r="J68" i="5" s="1"/>
  <c r="K67" i="5"/>
  <c r="F70" i="5"/>
  <c r="G70" i="5" s="1"/>
  <c r="I70" i="5" s="1"/>
  <c r="A71" i="5"/>
  <c r="E70" i="5"/>
  <c r="K68" i="5" l="1"/>
  <c r="L69" i="5"/>
  <c r="K69" i="5" s="1"/>
  <c r="F71" i="5"/>
  <c r="G71" i="5" s="1"/>
  <c r="I71" i="5" s="1"/>
  <c r="E71" i="5"/>
  <c r="A72" i="5"/>
  <c r="L70" i="5" l="1"/>
  <c r="K70" i="5" s="1"/>
  <c r="J69" i="5"/>
  <c r="F72" i="5"/>
  <c r="G72" i="5" s="1"/>
  <c r="I72" i="5" s="1"/>
  <c r="A73" i="5"/>
  <c r="E72" i="5"/>
  <c r="L71" i="5" l="1"/>
  <c r="J71" i="5" s="1"/>
  <c r="J70" i="5"/>
  <c r="F73" i="5"/>
  <c r="G73" i="5" s="1"/>
  <c r="I73" i="5" s="1"/>
  <c r="A74" i="5"/>
  <c r="E73" i="5"/>
  <c r="L72" i="5" l="1"/>
  <c r="K72" i="5" s="1"/>
  <c r="K71" i="5"/>
  <c r="F74" i="5"/>
  <c r="G74" i="5" s="1"/>
  <c r="I74" i="5" s="1"/>
  <c r="A75" i="5"/>
  <c r="E74" i="5"/>
  <c r="J72" i="5" l="1"/>
  <c r="L73" i="5"/>
  <c r="K73" i="5" s="1"/>
  <c r="F75" i="5"/>
  <c r="G75" i="5" s="1"/>
  <c r="I75" i="5" s="1"/>
  <c r="E75" i="5"/>
  <c r="A76" i="5"/>
  <c r="A55" i="5"/>
  <c r="J73" i="5" l="1"/>
  <c r="L74" i="5"/>
  <c r="K74" i="5" s="1"/>
  <c r="E76" i="5"/>
  <c r="O56" i="5"/>
  <c r="F55" i="5"/>
  <c r="G55" i="5" s="1"/>
  <c r="F76" i="5"/>
  <c r="G76" i="5" s="1"/>
  <c r="I76" i="5" s="1"/>
  <c r="A77" i="5"/>
  <c r="E56" i="5"/>
  <c r="O55" i="5"/>
  <c r="E55" i="5"/>
  <c r="J74" i="5" l="1"/>
  <c r="L75" i="5"/>
  <c r="K75" i="5" s="1"/>
  <c r="F77" i="5"/>
  <c r="G77" i="5" s="1"/>
  <c r="I77" i="5" s="1"/>
  <c r="E77" i="5"/>
  <c r="N56" i="5"/>
  <c r="M56" i="5"/>
  <c r="N55" i="5"/>
  <c r="M55" i="5"/>
  <c r="A78" i="5"/>
  <c r="J75" i="5" l="1"/>
  <c r="L76" i="5"/>
  <c r="K76" i="5" s="1"/>
  <c r="E78" i="5"/>
  <c r="F78" i="5"/>
  <c r="G78" i="5" s="1"/>
  <c r="I78" i="5" s="1"/>
  <c r="A79" i="5"/>
  <c r="J76" i="5" l="1"/>
  <c r="L77" i="5"/>
  <c r="K77" i="5" s="1"/>
  <c r="F79" i="5"/>
  <c r="G79" i="5" s="1"/>
  <c r="I79" i="5" s="1"/>
  <c r="E79" i="5"/>
  <c r="A81" i="5"/>
  <c r="A80" i="5"/>
  <c r="J77" i="5" l="1"/>
  <c r="L78" i="5"/>
  <c r="K78" i="5" s="1"/>
  <c r="E80" i="5"/>
  <c r="F80" i="5"/>
  <c r="G80" i="5" s="1"/>
  <c r="I80" i="5" s="1"/>
  <c r="F81" i="5"/>
  <c r="G81" i="5" s="1"/>
  <c r="I81" i="5" s="1"/>
  <c r="E81" i="5"/>
  <c r="A6" i="5"/>
  <c r="J78" i="5" l="1"/>
  <c r="L79" i="5"/>
  <c r="K79" i="5" s="1"/>
  <c r="O7" i="5"/>
  <c r="F6" i="5"/>
  <c r="G6" i="5" s="1"/>
  <c r="O6" i="5"/>
  <c r="E6" i="5"/>
  <c r="E7" i="5"/>
  <c r="J79" i="5" l="1"/>
  <c r="L81" i="5"/>
  <c r="K81" i="5" s="1"/>
  <c r="L80" i="5"/>
  <c r="J80" i="5" s="1"/>
  <c r="N7" i="5"/>
  <c r="M7" i="5"/>
  <c r="M6" i="5"/>
  <c r="N6" i="5"/>
  <c r="J81" i="5" l="1"/>
  <c r="K80" i="5"/>
  <c r="A20" i="5"/>
  <c r="O21" i="5" l="1"/>
  <c r="E20" i="5"/>
  <c r="O20" i="5"/>
  <c r="F20" i="5"/>
  <c r="G20" i="5" s="1"/>
  <c r="I20" i="5" s="1"/>
  <c r="E21" i="5"/>
  <c r="M21" i="5" l="1"/>
  <c r="N21" i="5"/>
  <c r="M20" i="5"/>
  <c r="N20" i="5"/>
  <c r="L20" i="5" l="1"/>
  <c r="J20" i="5" s="1"/>
  <c r="G17" i="5"/>
  <c r="I17" i="5" s="1"/>
  <c r="L17" i="5" s="1"/>
  <c r="K20" i="5" l="1"/>
  <c r="K17" i="5"/>
  <c r="J17" i="5"/>
</calcChain>
</file>

<file path=xl/sharedStrings.xml><?xml version="1.0" encoding="utf-8"?>
<sst xmlns="http://schemas.openxmlformats.org/spreadsheetml/2006/main" count="170" uniqueCount="100">
  <si>
    <t>(min)</t>
  </si>
  <si>
    <t>x</t>
  </si>
  <si>
    <t>y</t>
  </si>
  <si>
    <t>Jupiter</t>
  </si>
  <si>
    <t>Datum</t>
  </si>
  <si>
    <t>VE</t>
  </si>
  <si>
    <t>x =</t>
  </si>
  <si>
    <t>y =</t>
  </si>
  <si>
    <r>
      <t>l</t>
    </r>
    <r>
      <rPr>
        <sz val="8"/>
        <rFont val="Arial"/>
        <family val="2"/>
      </rPr>
      <t>(Sonne)</t>
    </r>
  </si>
  <si>
    <t>in Grad</t>
  </si>
  <si>
    <r>
      <t>l</t>
    </r>
    <r>
      <rPr>
        <sz val="8"/>
        <rFont val="Arial"/>
        <family val="2"/>
      </rPr>
      <t>(Erde)</t>
    </r>
  </si>
  <si>
    <t>B</t>
  </si>
  <si>
    <t>C</t>
  </si>
  <si>
    <t>D</t>
  </si>
  <si>
    <t>E</t>
  </si>
  <si>
    <t>F</t>
  </si>
  <si>
    <t>G</t>
  </si>
  <si>
    <t>H</t>
  </si>
  <si>
    <t>I</t>
  </si>
  <si>
    <t>J</t>
  </si>
  <si>
    <t>A</t>
  </si>
  <si>
    <t>(AE)</t>
  </si>
  <si>
    <t>Strahlen Jupiter-Erde:</t>
  </si>
  <si>
    <t>Bahnpunkte Jupiter in die Ekliptik projiziert</t>
  </si>
  <si>
    <t>a</t>
  </si>
  <si>
    <t>Verfinsterung</t>
  </si>
  <si>
    <r>
      <t>Opposition am 29.2.92, 2</t>
    </r>
    <r>
      <rPr>
        <vertAlign val="superscript"/>
        <sz val="9"/>
        <rFont val="Arial"/>
        <family val="2"/>
      </rPr>
      <t>h</t>
    </r>
    <r>
      <rPr>
        <sz val="9"/>
        <rFont val="Arial"/>
        <family val="2"/>
      </rPr>
      <t xml:space="preserve"> MEZ</t>
    </r>
  </si>
  <si>
    <t>Tab. 1       Bahnen von Erde und Jupiter 1992</t>
  </si>
  <si>
    <t xml:space="preserve">  Erde</t>
  </si>
  <si>
    <r>
      <t xml:space="preserve">Breite </t>
    </r>
    <r>
      <rPr>
        <i/>
        <sz val="9"/>
        <rFont val="Arial"/>
        <family val="2"/>
      </rPr>
      <t>b</t>
    </r>
  </si>
  <si>
    <r>
      <t>(</t>
    </r>
    <r>
      <rPr>
        <sz val="9"/>
        <rFont val="Arial"/>
        <family val="2"/>
      </rPr>
      <t>°)</t>
    </r>
  </si>
  <si>
    <t>Konjunktion</t>
  </si>
  <si>
    <t>1.7.92:</t>
  </si>
  <si>
    <t>Sonne:</t>
  </si>
  <si>
    <t>korri-</t>
  </si>
  <si>
    <r>
      <t xml:space="preserve">giertes </t>
    </r>
    <r>
      <rPr>
        <i/>
        <sz val="9"/>
        <rFont val="Arial"/>
        <family val="2"/>
      </rPr>
      <t>k</t>
    </r>
  </si>
  <si>
    <t>Fehlerbalken</t>
  </si>
  <si>
    <t>Jupiter in Opp.:</t>
  </si>
  <si>
    <t>(Opposition)</t>
  </si>
  <si>
    <t>(Konjunktion)</t>
  </si>
  <si>
    <t>Strahl Jupiter-Sonne:</t>
  </si>
  <si>
    <t>Io- Bahn</t>
  </si>
  <si>
    <t>Fehler-</t>
  </si>
  <si>
    <t>grenze unten</t>
  </si>
  <si>
    <t>grenze oben</t>
  </si>
  <si>
    <t xml:space="preserve">  (min)</t>
  </si>
  <si>
    <t>Verfinst. (min)</t>
  </si>
  <si>
    <t>Zeit zw. zwei</t>
  </si>
  <si>
    <r>
      <t>t</t>
    </r>
    <r>
      <rPr>
        <i/>
        <vertAlign val="subscript"/>
        <sz val="9"/>
        <rFont val="Arial"/>
        <family val="2"/>
      </rPr>
      <t>L</t>
    </r>
    <r>
      <rPr>
        <i/>
        <sz val="9"/>
        <rFont val="Arial"/>
        <family val="2"/>
      </rPr>
      <t xml:space="preserve">(k) </t>
    </r>
  </si>
  <si>
    <r>
      <t xml:space="preserve">Nr. </t>
    </r>
    <r>
      <rPr>
        <b/>
        <i/>
        <sz val="8"/>
        <rFont val="Arial"/>
        <family val="2"/>
      </rPr>
      <t>k</t>
    </r>
    <r>
      <rPr>
        <sz val="8"/>
        <rFont val="Arial"/>
        <family val="2"/>
      </rPr>
      <t xml:space="preserve"> der </t>
    </r>
  </si>
  <si>
    <t>:48</t>
  </si>
  <si>
    <t>:18</t>
  </si>
  <si>
    <t>:12</t>
  </si>
  <si>
    <t>:24</t>
  </si>
  <si>
    <t>:06</t>
  </si>
  <si>
    <t>:54</t>
  </si>
  <si>
    <t>:00</t>
  </si>
  <si>
    <t>:42</t>
  </si>
  <si>
    <t>:36</t>
  </si>
  <si>
    <t>:27</t>
  </si>
  <si>
    <t>:21</t>
  </si>
  <si>
    <t>:30</t>
  </si>
  <si>
    <t>:6</t>
  </si>
  <si>
    <t>:0</t>
  </si>
  <si>
    <r>
      <t xml:space="preserve">min   </t>
    </r>
    <r>
      <rPr>
        <b/>
        <sz val="10"/>
        <rFont val="Arial"/>
        <family val="2"/>
      </rPr>
      <t xml:space="preserve">    c = </t>
    </r>
  </si>
  <si>
    <t>s</t>
  </si>
  <si>
    <r>
      <t>k</t>
    </r>
    <r>
      <rPr>
        <sz val="9"/>
        <rFont val="Arial"/>
        <family val="2"/>
      </rPr>
      <t>*</t>
    </r>
    <r>
      <rPr>
        <i/>
        <sz val="9"/>
        <rFont val="Arial"/>
        <family val="2"/>
      </rPr>
      <t>P</t>
    </r>
    <r>
      <rPr>
        <vertAlign val="subscript"/>
        <sz val="9"/>
        <rFont val="Arial"/>
        <family val="2"/>
      </rPr>
      <t>Io</t>
    </r>
  </si>
  <si>
    <t>(m/s)</t>
  </si>
  <si>
    <r>
      <t xml:space="preserve">  </t>
    </r>
    <r>
      <rPr>
        <i/>
        <sz val="8"/>
        <rFont val="Arial"/>
        <family val="2"/>
      </rPr>
      <t>t</t>
    </r>
    <r>
      <rPr>
        <i/>
        <vertAlign val="subscript"/>
        <sz val="8"/>
        <rFont val="Arial"/>
        <family val="2"/>
      </rPr>
      <t>VE</t>
    </r>
    <r>
      <rPr>
        <sz val="8"/>
        <rFont val="Arial"/>
        <family val="2"/>
      </rPr>
      <t>(</t>
    </r>
    <r>
      <rPr>
        <i/>
        <sz val="8"/>
        <rFont val="Arial"/>
        <family val="2"/>
      </rPr>
      <t>k</t>
    </r>
    <r>
      <rPr>
        <sz val="8"/>
        <rFont val="Arial"/>
        <family val="2"/>
      </rPr>
      <t>)</t>
    </r>
    <r>
      <rPr>
        <i/>
        <sz val="8"/>
        <rFont val="Arial"/>
        <family val="2"/>
      </rPr>
      <t xml:space="preserve"> - t</t>
    </r>
    <r>
      <rPr>
        <i/>
        <vertAlign val="subscript"/>
        <sz val="8"/>
        <rFont val="Arial"/>
        <family val="2"/>
      </rPr>
      <t>VE</t>
    </r>
    <r>
      <rPr>
        <sz val="8"/>
        <rFont val="Arial"/>
        <family val="2"/>
      </rPr>
      <t>(0)</t>
    </r>
  </si>
  <si>
    <r>
      <t xml:space="preserve"> Tag</t>
    </r>
    <r>
      <rPr>
        <sz val="8"/>
        <rFont val="Arial"/>
        <family val="2"/>
      </rPr>
      <t xml:space="preserve">, </t>
    </r>
    <r>
      <rPr>
        <sz val="9"/>
        <rFont val="Arial"/>
        <family val="2"/>
      </rPr>
      <t xml:space="preserve"> h:min:</t>
    </r>
  </si>
  <si>
    <t>VA</t>
  </si>
  <si>
    <r>
      <t xml:space="preserve">  </t>
    </r>
    <r>
      <rPr>
        <i/>
        <sz val="9"/>
        <rFont val="Arial"/>
        <family val="2"/>
      </rPr>
      <t>t</t>
    </r>
    <r>
      <rPr>
        <i/>
        <vertAlign val="subscript"/>
        <sz val="9"/>
        <rFont val="Arial"/>
        <family val="2"/>
      </rPr>
      <t>VA</t>
    </r>
    <r>
      <rPr>
        <sz val="9"/>
        <rFont val="Arial"/>
        <family val="2"/>
      </rPr>
      <t>(0)</t>
    </r>
    <r>
      <rPr>
        <i/>
        <sz val="8"/>
        <rFont val="Arial"/>
        <family val="2"/>
      </rPr>
      <t xml:space="preserve"> </t>
    </r>
    <r>
      <rPr>
        <i/>
        <sz val="9"/>
        <rFont val="Arial"/>
        <family val="2"/>
      </rPr>
      <t>- t</t>
    </r>
    <r>
      <rPr>
        <i/>
        <vertAlign val="subscript"/>
        <sz val="9"/>
        <rFont val="Arial"/>
        <family val="2"/>
      </rPr>
      <t>VA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k</t>
    </r>
    <r>
      <rPr>
        <sz val="9"/>
        <rFont val="Arial"/>
        <family val="2"/>
      </rPr>
      <t>)</t>
    </r>
  </si>
  <si>
    <r>
      <t>r</t>
    </r>
    <r>
      <rPr>
        <i/>
        <vertAlign val="subscript"/>
        <sz val="9"/>
        <rFont val="Arial"/>
        <family val="2"/>
      </rPr>
      <t>E</t>
    </r>
    <r>
      <rPr>
        <sz val="9"/>
        <rFont val="Arial"/>
        <family val="2"/>
      </rPr>
      <t>*cos(</t>
    </r>
    <r>
      <rPr>
        <i/>
        <sz val="9"/>
        <rFont val="Times New Roman"/>
        <family val="1"/>
      </rPr>
      <t>l</t>
    </r>
    <r>
      <rPr>
        <i/>
        <vertAlign val="subscript"/>
        <sz val="9"/>
        <rFont val="Times New Roman"/>
        <family val="1"/>
      </rPr>
      <t>E</t>
    </r>
    <r>
      <rPr>
        <sz val="9"/>
        <rFont val="Arial"/>
        <family val="2"/>
      </rPr>
      <t>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</si>
  <si>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</si>
  <si>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y</t>
    </r>
    <r>
      <rPr>
        <sz val="10"/>
        <rFont val="Arial"/>
        <family val="2"/>
      </rPr>
      <t xml:space="preserve"> =</t>
    </r>
  </si>
  <si>
    <t>Vor der Opposition gilt:</t>
  </si>
  <si>
    <r>
      <rPr>
        <i/>
        <sz val="10"/>
        <rFont val="Arial"/>
        <family val="2"/>
      </rPr>
      <t>P</t>
    </r>
    <r>
      <rPr>
        <vertAlign val="subscript"/>
        <sz val="10"/>
        <rFont val="Arial"/>
        <family val="2"/>
      </rPr>
      <t>Io</t>
    </r>
    <r>
      <rPr>
        <sz val="10"/>
        <rFont val="Arial"/>
        <family val="2"/>
      </rPr>
      <t xml:space="preserve"> = </t>
    </r>
  </si>
  <si>
    <r>
      <t>P</t>
    </r>
    <r>
      <rPr>
        <vertAlign val="subscript"/>
        <sz val="10"/>
        <rFont val="Arial"/>
        <family val="2"/>
      </rPr>
      <t>Io</t>
    </r>
    <r>
      <rPr>
        <sz val="10"/>
        <rFont val="Arial"/>
        <family val="2"/>
      </rPr>
      <t xml:space="preserve"> = </t>
    </r>
  </si>
  <si>
    <r>
      <t>c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k</t>
    </r>
    <r>
      <rPr>
        <sz val="10"/>
        <rFont val="Arial"/>
        <family val="2"/>
      </rPr>
      <t>)</t>
    </r>
  </si>
  <si>
    <t xml:space="preserve">ekl. Län- </t>
  </si>
  <si>
    <t>Jupiter-</t>
  </si>
  <si>
    <t>Konj.</t>
  </si>
  <si>
    <t>Opposition</t>
  </si>
  <si>
    <r>
      <t>r</t>
    </r>
    <r>
      <rPr>
        <i/>
        <vertAlign val="subscript"/>
        <sz val="11"/>
        <rFont val="Times New Roman"/>
        <family val="1"/>
      </rPr>
      <t>J</t>
    </r>
    <r>
      <rPr>
        <i/>
        <sz val="11"/>
        <rFont val="Times New Roman"/>
        <family val="1"/>
      </rPr>
      <t>*</t>
    </r>
    <r>
      <rPr>
        <sz val="11"/>
        <rFont val="Times New Roman"/>
        <family val="1"/>
      </rPr>
      <t>cos(</t>
    </r>
    <r>
      <rPr>
        <i/>
        <sz val="11"/>
        <rFont val="Times New Roman"/>
        <family val="1"/>
      </rPr>
      <t>l</t>
    </r>
    <r>
      <rPr>
        <i/>
        <vertAlign val="subscript"/>
        <sz val="11"/>
        <rFont val="Times New Roman"/>
        <family val="1"/>
      </rPr>
      <t>J</t>
    </r>
    <r>
      <rPr>
        <sz val="11"/>
        <rFont val="Times New Roman"/>
        <family val="1"/>
      </rPr>
      <t>)</t>
    </r>
  </si>
  <si>
    <r>
      <t>r</t>
    </r>
    <r>
      <rPr>
        <i/>
        <vertAlign val="subscript"/>
        <sz val="11"/>
        <rFont val="Times New Roman"/>
        <family val="1"/>
      </rPr>
      <t>J</t>
    </r>
    <r>
      <rPr>
        <i/>
        <sz val="11"/>
        <rFont val="Times New Roman"/>
        <family val="1"/>
      </rPr>
      <t>*</t>
    </r>
    <r>
      <rPr>
        <sz val="11"/>
        <rFont val="Times New Roman"/>
        <family val="1"/>
      </rPr>
      <t>sin(</t>
    </r>
    <r>
      <rPr>
        <i/>
        <sz val="11"/>
        <rFont val="Times New Roman"/>
        <family val="1"/>
      </rPr>
      <t>l</t>
    </r>
    <r>
      <rPr>
        <i/>
        <vertAlign val="subscript"/>
        <sz val="11"/>
        <rFont val="Times New Roman"/>
        <family val="1"/>
      </rPr>
      <t>J</t>
    </r>
    <r>
      <rPr>
        <sz val="11"/>
        <rFont val="Times New Roman"/>
        <family val="1"/>
      </rPr>
      <t>)</t>
    </r>
  </si>
  <si>
    <r>
      <t>r</t>
    </r>
    <r>
      <rPr>
        <i/>
        <vertAlign val="subscript"/>
        <sz val="9"/>
        <rFont val="Arial"/>
        <family val="2"/>
      </rPr>
      <t>E</t>
    </r>
    <r>
      <rPr>
        <sz val="9"/>
        <rFont val="Arial"/>
        <family val="2"/>
      </rPr>
      <t>*sin(</t>
    </r>
    <r>
      <rPr>
        <i/>
        <sz val="10"/>
        <rFont val="Times New Roman"/>
        <family val="1"/>
      </rPr>
      <t>l</t>
    </r>
    <r>
      <rPr>
        <i/>
        <vertAlign val="subscript"/>
        <sz val="9"/>
        <rFont val="Times New Roman"/>
        <family val="1"/>
      </rPr>
      <t>E</t>
    </r>
    <r>
      <rPr>
        <sz val="9"/>
        <rFont val="Arial"/>
        <family val="2"/>
      </rPr>
      <t>)</t>
    </r>
  </si>
  <si>
    <r>
      <t xml:space="preserve">ge  </t>
    </r>
    <r>
      <rPr>
        <i/>
        <sz val="10"/>
        <rFont val="Times New Roman"/>
        <family val="1"/>
      </rPr>
      <t>l</t>
    </r>
    <r>
      <rPr>
        <i/>
        <sz val="10"/>
        <rFont val="Arial"/>
        <family val="2"/>
      </rPr>
      <t xml:space="preserve"> </t>
    </r>
    <r>
      <rPr>
        <sz val="9"/>
        <rFont val="Arial"/>
        <family val="2"/>
      </rPr>
      <t>(°)</t>
    </r>
  </si>
  <si>
    <r>
      <t>Δ</t>
    </r>
    <r>
      <rPr>
        <i/>
        <sz val="10"/>
        <rFont val="Arial"/>
        <family val="2"/>
      </rPr>
      <t>c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k</t>
    </r>
    <r>
      <rPr>
        <sz val="10"/>
        <rFont val="Arial"/>
        <family val="2"/>
      </rPr>
      <t>)</t>
    </r>
  </si>
  <si>
    <t>Punkte für Diagramm 3:</t>
  </si>
  <si>
    <t>Für Diagramm 2:</t>
  </si>
  <si>
    <t xml:space="preserve">min       </t>
  </si>
  <si>
    <t>Achse in Diagr. 4</t>
  </si>
  <si>
    <t>Planeten-</t>
  </si>
  <si>
    <t>positionen</t>
  </si>
  <si>
    <r>
      <rPr>
        <b/>
        <sz val="10"/>
        <rFont val="Arial"/>
        <family val="2"/>
      </rPr>
      <t>m/s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k</t>
    </r>
    <r>
      <rPr>
        <sz val="9"/>
        <rFont val="Arial"/>
        <family val="2"/>
      </rPr>
      <t xml:space="preserve"> = 0 bis</t>
    </r>
    <r>
      <rPr>
        <i/>
        <sz val="9"/>
        <rFont val="Arial"/>
        <family val="2"/>
      </rPr>
      <t xml:space="preserve"> k</t>
    </r>
    <r>
      <rPr>
        <sz val="9"/>
        <rFont val="Arial"/>
        <family val="2"/>
      </rPr>
      <t xml:space="preserve"> =26)</t>
    </r>
  </si>
  <si>
    <r>
      <rPr>
        <b/>
        <sz val="9"/>
        <rFont val="Arial"/>
        <family val="2"/>
      </rPr>
      <t>(</t>
    </r>
    <r>
      <rPr>
        <sz val="9"/>
        <rFont val="Arial"/>
        <family val="2"/>
      </rPr>
      <t>VA(0) ist um den maximal möglichen Rundungsfehler erniedrigt</t>
    </r>
    <r>
      <rPr>
        <b/>
        <sz val="9"/>
        <rFont val="Arial"/>
        <family val="2"/>
      </rPr>
      <t xml:space="preserve">) </t>
    </r>
  </si>
  <si>
    <r>
      <t>t</t>
    </r>
    <r>
      <rPr>
        <i/>
        <vertAlign val="subscript"/>
        <sz val="10"/>
        <rFont val="Arial"/>
        <family val="2"/>
      </rPr>
      <t>L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k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 xml:space="preserve"> = (-k)</t>
    </r>
    <r>
      <rPr>
        <sz val="10"/>
        <rFont val="Calibri"/>
        <family val="2"/>
      </rPr>
      <t>·</t>
    </r>
    <r>
      <rPr>
        <i/>
        <sz val="10"/>
        <rFont val="Arial"/>
        <family val="2"/>
      </rPr>
      <t>P</t>
    </r>
    <r>
      <rPr>
        <i/>
        <vertAlign val="subscript"/>
        <sz val="10"/>
        <rFont val="Arial"/>
        <family val="2"/>
      </rPr>
      <t>IO</t>
    </r>
    <r>
      <rPr>
        <i/>
        <sz val="10"/>
        <rFont val="Arial"/>
        <family val="2"/>
      </rPr>
      <t xml:space="preserve"> - </t>
    </r>
    <r>
      <rPr>
        <b/>
        <i/>
        <sz val="10"/>
        <rFont val="Arial"/>
        <family val="2"/>
      </rPr>
      <t>(</t>
    </r>
    <r>
      <rPr>
        <i/>
        <sz val="10"/>
        <rFont val="Arial"/>
        <family val="2"/>
      </rPr>
      <t>t</t>
    </r>
    <r>
      <rPr>
        <i/>
        <vertAlign val="subscript"/>
        <sz val="10"/>
        <rFont val="Arial"/>
        <family val="2"/>
      </rPr>
      <t>VA</t>
    </r>
    <r>
      <rPr>
        <i/>
        <sz val="10"/>
        <rFont val="Arial"/>
        <family val="2"/>
      </rPr>
      <t>(0) - t</t>
    </r>
    <r>
      <rPr>
        <i/>
        <vertAlign val="subscript"/>
        <sz val="10"/>
        <rFont val="Arial"/>
        <family val="2"/>
      </rPr>
      <t>VA</t>
    </r>
    <r>
      <rPr>
        <i/>
        <sz val="10"/>
        <rFont val="Arial"/>
        <family val="2"/>
      </rPr>
      <t>(k)</t>
    </r>
    <r>
      <rPr>
        <b/>
        <i/>
        <sz val="10"/>
        <rFont val="Arial"/>
        <family val="2"/>
      </rPr>
      <t>)</t>
    </r>
  </si>
  <si>
    <r>
      <rPr>
        <sz val="9"/>
        <rFont val="Arial"/>
        <family val="2"/>
      </rPr>
      <t>(</t>
    </r>
    <r>
      <rPr>
        <i/>
        <sz val="9"/>
        <rFont val="Arial"/>
        <family val="2"/>
      </rPr>
      <t>-k</t>
    </r>
    <r>
      <rPr>
        <sz val="9"/>
        <rFont val="Arial"/>
        <family val="2"/>
      </rPr>
      <t>)</t>
    </r>
    <r>
      <rPr>
        <sz val="9"/>
        <rFont val="Calibri"/>
        <family val="2"/>
      </rPr>
      <t>·</t>
    </r>
    <r>
      <rPr>
        <i/>
        <sz val="9"/>
        <rFont val="Arial"/>
        <family val="2"/>
      </rPr>
      <t>P</t>
    </r>
    <r>
      <rPr>
        <vertAlign val="subscript"/>
        <sz val="9"/>
        <rFont val="Arial"/>
        <family val="2"/>
      </rPr>
      <t>Io</t>
    </r>
  </si>
  <si>
    <r>
      <t>Tab. 2a      Io-Verfinsterungen März bis Juni 1992 und R</t>
    </r>
    <r>
      <rPr>
        <b/>
        <sz val="11"/>
        <rFont val="Calibri"/>
        <family val="2"/>
      </rPr>
      <t>ø</t>
    </r>
    <r>
      <rPr>
        <b/>
        <sz val="11"/>
        <rFont val="Arial"/>
        <family val="2"/>
      </rPr>
      <t>merverfahren</t>
    </r>
  </si>
  <si>
    <r>
      <t>Tab. 2b    Io-Verfinsterungen  Sept. 1991 bis Febr. 1992 und R</t>
    </r>
    <r>
      <rPr>
        <b/>
        <sz val="11"/>
        <rFont val="Calibri"/>
        <family val="2"/>
      </rPr>
      <t>ø</t>
    </r>
    <r>
      <rPr>
        <b/>
        <sz val="11"/>
        <rFont val="Arial"/>
        <family val="2"/>
      </rPr>
      <t>merverfahren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</si>
</sst>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d/m"/>
    <numFmt numFmtId="165" formatCode="0.000"/>
    <numFmt numFmtId="166" formatCode="0.0E+00"/>
    <numFmt numFmtId="167" formatCode="0.0"/>
    <numFmt numFmtId="168" formatCode="d/m/yy"/>
    <numFmt numFmtId="169" formatCode="d/m/yy\ h:mm;@"/>
    <numFmt numFmtId="170" formatCode="0.0000"/>
    <numFmt numFmtId="171" formatCode="0E+00"/>
    <numFmt numFmtId="172" formatCode="d/m/yy;@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i/>
      <sz val="10"/>
      <name val="Symbol"/>
      <family val="1"/>
      <charset val="2"/>
    </font>
    <font>
      <i/>
      <sz val="10"/>
      <name val="Arial"/>
      <family val="2"/>
    </font>
    <font>
      <sz val="8"/>
      <name val="Symbol"/>
      <family val="1"/>
      <charset val="2"/>
    </font>
    <font>
      <vertAlign val="subscript"/>
      <sz val="9"/>
      <name val="Arial"/>
      <family val="2"/>
    </font>
    <font>
      <i/>
      <sz val="9"/>
      <name val="Arial"/>
      <family val="2"/>
    </font>
    <font>
      <i/>
      <vertAlign val="subscript"/>
      <sz val="10"/>
      <name val="Arial"/>
      <family val="2"/>
    </font>
    <font>
      <i/>
      <sz val="10"/>
      <name val="Times New Roman"/>
      <family val="1"/>
    </font>
    <font>
      <vertAlign val="superscript"/>
      <sz val="9"/>
      <name val="Arial"/>
      <family val="2"/>
    </font>
    <font>
      <i/>
      <vertAlign val="subscript"/>
      <sz val="9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9"/>
      <name val="Times New Roman"/>
      <family val="1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name val="Symbol"/>
      <family val="1"/>
      <charset val="2"/>
    </font>
    <font>
      <b/>
      <i/>
      <sz val="8"/>
      <name val="Arial"/>
      <family val="2"/>
    </font>
    <font>
      <i/>
      <vertAlign val="subscript"/>
      <sz val="8"/>
      <name val="Arial"/>
      <family val="2"/>
    </font>
    <font>
      <b/>
      <i/>
      <sz val="9"/>
      <name val="Arial"/>
      <family val="2"/>
    </font>
    <font>
      <b/>
      <sz val="10"/>
      <name val="Times New Roman"/>
      <family val="1"/>
    </font>
    <font>
      <b/>
      <i/>
      <sz val="10"/>
      <name val="Arial"/>
      <family val="2"/>
    </font>
    <font>
      <i/>
      <vertAlign val="subscript"/>
      <sz val="9"/>
      <name val="Times New Roman"/>
      <family val="1"/>
    </font>
    <font>
      <vertAlign val="subscript"/>
      <sz val="10"/>
      <name val="Arial"/>
      <family val="2"/>
    </font>
    <font>
      <i/>
      <sz val="11"/>
      <name val="Symbol"/>
      <family val="1"/>
      <charset val="2"/>
    </font>
    <font>
      <sz val="9"/>
      <name val="Symbol"/>
      <family val="1"/>
      <charset val="2"/>
    </font>
    <font>
      <i/>
      <sz val="11"/>
      <name val="Times New Roman"/>
      <family val="1"/>
    </font>
    <font>
      <i/>
      <vertAlign val="subscript"/>
      <sz val="11"/>
      <name val="Times New Roman"/>
      <family val="1"/>
    </font>
    <font>
      <sz val="11"/>
      <name val="Times New Roman"/>
      <family val="1"/>
    </font>
    <font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BF9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8" xfId="0" applyBorder="1"/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2" fillId="0" borderId="0" xfId="0" applyFont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8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8" fontId="0" fillId="0" borderId="29" xfId="0" applyNumberFormat="1" applyBorder="1" applyAlignment="1">
      <alignment horizontal="center"/>
    </xf>
    <xf numFmtId="168" fontId="0" fillId="0" borderId="28" xfId="0" applyNumberFormat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68" fontId="0" fillId="4" borderId="28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168" fontId="0" fillId="0" borderId="27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0" borderId="14" xfId="0" applyBorder="1"/>
    <xf numFmtId="2" fontId="0" fillId="3" borderId="6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4" borderId="37" xfId="0" applyNumberForma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/>
    <xf numFmtId="2" fontId="0" fillId="3" borderId="18" xfId="0" applyNumberFormat="1" applyFill="1" applyBorder="1" applyAlignment="1">
      <alignment horizontal="center"/>
    </xf>
    <xf numFmtId="0" fontId="20" fillId="0" borderId="0" xfId="0" applyFont="1" applyBorder="1" applyAlignment="1"/>
    <xf numFmtId="0" fontId="19" fillId="0" borderId="0" xfId="0" applyFont="1" applyBorder="1" applyAlignment="1"/>
    <xf numFmtId="168" fontId="0" fillId="3" borderId="28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1" xfId="0" applyNumberFormat="1" applyFill="1" applyBorder="1"/>
    <xf numFmtId="0" fontId="0" fillId="4" borderId="1" xfId="0" applyFill="1" applyBorder="1" applyAlignment="1"/>
    <xf numFmtId="2" fontId="0" fillId="3" borderId="25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0" fontId="22" fillId="0" borderId="0" xfId="0" applyFont="1"/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/>
    </xf>
    <xf numFmtId="0" fontId="0" fillId="6" borderId="8" xfId="0" applyFill="1" applyBorder="1"/>
    <xf numFmtId="0" fontId="0" fillId="6" borderId="37" xfId="0" applyFill="1" applyBorder="1" applyAlignment="1">
      <alignment horizontal="right"/>
    </xf>
    <xf numFmtId="0" fontId="0" fillId="6" borderId="37" xfId="0" applyFill="1" applyBorder="1" applyAlignment="1">
      <alignment horizontal="center"/>
    </xf>
    <xf numFmtId="2" fontId="0" fillId="6" borderId="1" xfId="0" applyNumberFormat="1" applyFill="1" applyBorder="1"/>
    <xf numFmtId="2" fontId="0" fillId="6" borderId="1" xfId="0" applyNumberFormat="1" applyFill="1" applyBorder="1" applyAlignment="1">
      <alignment horizontal="center"/>
    </xf>
    <xf numFmtId="0" fontId="0" fillId="4" borderId="0" xfId="0" applyFill="1" applyBorder="1"/>
    <xf numFmtId="2" fontId="0" fillId="4" borderId="11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2" fontId="0" fillId="4" borderId="2" xfId="0" applyNumberFormat="1" applyFill="1" applyBorder="1"/>
    <xf numFmtId="0" fontId="0" fillId="4" borderId="7" xfId="0" applyFill="1" applyBorder="1"/>
    <xf numFmtId="0" fontId="0" fillId="4" borderId="41" xfId="0" applyFill="1" applyBorder="1" applyAlignment="1"/>
    <xf numFmtId="2" fontId="0" fillId="4" borderId="42" xfId="0" quotePrefix="1" applyNumberFormat="1" applyFill="1" applyBorder="1" applyAlignment="1">
      <alignment horizontal="right"/>
    </xf>
    <xf numFmtId="2" fontId="0" fillId="4" borderId="30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167" fontId="0" fillId="4" borderId="15" xfId="0" applyNumberFormat="1" applyFill="1" applyBorder="1" applyAlignment="1">
      <alignment horizontal="center"/>
    </xf>
    <xf numFmtId="167" fontId="0" fillId="4" borderId="3" xfId="0" applyNumberFormat="1" applyFill="1" applyBorder="1" applyAlignment="1">
      <alignment horizontal="center"/>
    </xf>
    <xf numFmtId="0" fontId="0" fillId="4" borderId="3" xfId="0" applyFill="1" applyBorder="1"/>
    <xf numFmtId="0" fontId="0" fillId="4" borderId="38" xfId="0" applyFill="1" applyBorder="1"/>
    <xf numFmtId="2" fontId="0" fillId="4" borderId="38" xfId="0" applyNumberFormat="1" applyFill="1" applyBorder="1" applyAlignment="1">
      <alignment horizontal="center"/>
    </xf>
    <xf numFmtId="2" fontId="0" fillId="4" borderId="7" xfId="0" quotePrefix="1" applyNumberFormat="1" applyFill="1" applyBorder="1" applyAlignment="1">
      <alignment horizontal="right"/>
    </xf>
    <xf numFmtId="2" fontId="0" fillId="0" borderId="1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4" fillId="0" borderId="0" xfId="0" applyFont="1" applyBorder="1" applyAlignment="1"/>
    <xf numFmtId="165" fontId="0" fillId="0" borderId="17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9" fontId="5" fillId="0" borderId="9" xfId="0" applyNumberFormat="1" applyFont="1" applyFill="1" applyBorder="1" applyAlignment="1">
      <alignment horizontal="right"/>
    </xf>
    <xf numFmtId="169" fontId="5" fillId="0" borderId="1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7" fillId="0" borderId="0" xfId="0" applyFont="1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/>
    <xf numFmtId="167" fontId="0" fillId="0" borderId="0" xfId="0" applyNumberForma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2" fontId="7" fillId="0" borderId="14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/>
    <xf numFmtId="166" fontId="7" fillId="0" borderId="14" xfId="0" applyNumberFormat="1" applyFont="1" applyFill="1" applyBorder="1" applyAlignment="1">
      <alignment horizontal="center"/>
    </xf>
    <xf numFmtId="0" fontId="0" fillId="0" borderId="1" xfId="0" applyFill="1" applyBorder="1"/>
    <xf numFmtId="166" fontId="0" fillId="0" borderId="14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167" fontId="0" fillId="0" borderId="18" xfId="0" applyNumberFormat="1" applyFill="1" applyBorder="1" applyAlignment="1">
      <alignment horizontal="center"/>
    </xf>
    <xf numFmtId="167" fontId="0" fillId="0" borderId="26" xfId="0" applyNumberForma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7" fontId="0" fillId="0" borderId="38" xfId="0" applyNumberFormat="1" applyFill="1" applyBorder="1" applyAlignment="1">
      <alignment horizontal="center"/>
    </xf>
    <xf numFmtId="0" fontId="5" fillId="0" borderId="0" xfId="0" applyFont="1" applyFill="1" applyAlignment="1"/>
    <xf numFmtId="0" fontId="0" fillId="0" borderId="1" xfId="0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/>
    <xf numFmtId="2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/>
    <xf numFmtId="0" fontId="23" fillId="0" borderId="0" xfId="0" applyFont="1" applyFill="1" applyBorder="1" applyAlignment="1">
      <alignment horizontal="center"/>
    </xf>
    <xf numFmtId="168" fontId="0" fillId="0" borderId="28" xfId="0" applyNumberForma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31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0" xfId="0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8" fontId="5" fillId="0" borderId="0" xfId="0" applyNumberFormat="1" applyFont="1" applyFill="1" applyBorder="1" applyAlignment="1"/>
    <xf numFmtId="165" fontId="0" fillId="0" borderId="0" xfId="0" applyNumberFormat="1" applyFill="1" applyBorder="1" applyAlignment="1"/>
    <xf numFmtId="168" fontId="0" fillId="0" borderId="0" xfId="0" applyNumberForma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5" fillId="0" borderId="12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Alignment="1"/>
    <xf numFmtId="166" fontId="0" fillId="0" borderId="17" xfId="0" applyNumberFormat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1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2" fillId="8" borderId="14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right" vertical="center"/>
    </xf>
    <xf numFmtId="0" fontId="5" fillId="8" borderId="3" xfId="0" applyFont="1" applyFill="1" applyBorder="1" applyAlignment="1">
      <alignment horizontal="left" vertical="center"/>
    </xf>
    <xf numFmtId="0" fontId="13" fillId="8" borderId="14" xfId="0" applyFont="1" applyFill="1" applyBorder="1" applyAlignment="1">
      <alignment horizontal="center"/>
    </xf>
    <xf numFmtId="2" fontId="2" fillId="8" borderId="17" xfId="0" applyNumberFormat="1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3" fillId="8" borderId="7" xfId="0" applyFont="1" applyFill="1" applyBorder="1" applyAlignment="1"/>
    <xf numFmtId="0" fontId="5" fillId="8" borderId="7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9" fillId="8" borderId="25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8" borderId="30" xfId="0" applyFill="1" applyBorder="1"/>
    <xf numFmtId="0" fontId="5" fillId="8" borderId="30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13" fillId="8" borderId="38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0" fillId="0" borderId="18" xfId="0" applyFill="1" applyBorder="1"/>
    <xf numFmtId="167" fontId="0" fillId="0" borderId="17" xfId="0" applyNumberFormat="1" applyFill="1" applyBorder="1" applyAlignment="1">
      <alignment horizontal="center"/>
    </xf>
    <xf numFmtId="0" fontId="0" fillId="8" borderId="0" xfId="0" applyFill="1"/>
    <xf numFmtId="0" fontId="0" fillId="8" borderId="1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0" fillId="8" borderId="43" xfId="0" applyFont="1" applyFill="1" applyBorder="1" applyAlignment="1">
      <alignment horizontal="center"/>
    </xf>
    <xf numFmtId="2" fontId="10" fillId="8" borderId="41" xfId="0" applyNumberFormat="1" applyFont="1" applyFill="1" applyBorder="1" applyAlignment="1">
      <alignment horizontal="center"/>
    </xf>
    <xf numFmtId="0" fontId="0" fillId="8" borderId="4" xfId="0" applyFill="1" applyBorder="1"/>
    <xf numFmtId="0" fontId="10" fillId="8" borderId="1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41" xfId="0" applyFont="1" applyFill="1" applyBorder="1" applyAlignment="1">
      <alignment horizontal="center"/>
    </xf>
    <xf numFmtId="0" fontId="10" fillId="8" borderId="2" xfId="0" applyFont="1" applyFill="1" applyBorder="1"/>
    <xf numFmtId="0" fontId="10" fillId="8" borderId="4" xfId="0" applyFont="1" applyFill="1" applyBorder="1"/>
    <xf numFmtId="0" fontId="10" fillId="0" borderId="43" xfId="0" applyFont="1" applyBorder="1" applyAlignment="1">
      <alignment horizontal="center"/>
    </xf>
    <xf numFmtId="0" fontId="32" fillId="8" borderId="4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0" fillId="0" borderId="32" xfId="0" applyFill="1" applyBorder="1"/>
    <xf numFmtId="0" fontId="0" fillId="0" borderId="0" xfId="0" applyFill="1" applyBorder="1" applyAlignment="1">
      <alignment horizontal="center" vertical="center"/>
    </xf>
    <xf numFmtId="171" fontId="0" fillId="0" borderId="0" xfId="0" applyNumberFormat="1" applyBorder="1" applyAlignment="1">
      <alignment horizontal="center"/>
    </xf>
    <xf numFmtId="0" fontId="5" fillId="4" borderId="7" xfId="0" applyFont="1" applyFill="1" applyBorder="1" applyAlignment="1"/>
    <xf numFmtId="0" fontId="2" fillId="0" borderId="0" xfId="0" applyFont="1" applyFill="1" applyBorder="1" applyAlignment="1"/>
    <xf numFmtId="0" fontId="2" fillId="7" borderId="0" xfId="0" applyFont="1" applyFill="1" applyBorder="1" applyAlignment="1"/>
    <xf numFmtId="0" fontId="2" fillId="7" borderId="0" xfId="0" applyFont="1" applyFill="1" applyAlignment="1"/>
    <xf numFmtId="168" fontId="0" fillId="7" borderId="28" xfId="0" applyNumberFormat="1" applyFill="1" applyBorder="1" applyAlignment="1">
      <alignment horizontal="center"/>
    </xf>
    <xf numFmtId="2" fontId="0" fillId="7" borderId="14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2" fontId="0" fillId="7" borderId="25" xfId="0" applyNumberFormat="1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7" borderId="7" xfId="0" applyFont="1" applyFill="1" applyBorder="1" applyAlignment="1"/>
    <xf numFmtId="172" fontId="0" fillId="0" borderId="0" xfId="0" applyNumberFormat="1" applyFill="1" applyBorder="1" applyAlignment="1">
      <alignment horizontal="center" vertical="center"/>
    </xf>
    <xf numFmtId="0" fontId="34" fillId="8" borderId="17" xfId="0" applyFont="1" applyFill="1" applyBorder="1" applyAlignment="1">
      <alignment horizontal="center"/>
    </xf>
    <xf numFmtId="0" fontId="34" fillId="8" borderId="38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2" fontId="0" fillId="9" borderId="0" xfId="0" applyNumberFormat="1" applyFill="1" applyBorder="1" applyAlignment="1">
      <alignment horizontal="center"/>
    </xf>
    <xf numFmtId="169" fontId="5" fillId="11" borderId="39" xfId="0" applyNumberFormat="1" applyFont="1" applyFill="1" applyBorder="1" applyAlignment="1">
      <alignment horizontal="right"/>
    </xf>
    <xf numFmtId="0" fontId="1" fillId="11" borderId="19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71" fontId="0" fillId="0" borderId="0" xfId="0" applyNumberForma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71" fontId="7" fillId="0" borderId="0" xfId="0" applyNumberFormat="1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horizontal="center"/>
    </xf>
    <xf numFmtId="11" fontId="6" fillId="0" borderId="0" xfId="0" applyNumberFormat="1" applyFont="1" applyFill="1" applyBorder="1" applyAlignment="1">
      <alignment horizontal="center"/>
    </xf>
    <xf numFmtId="172" fontId="0" fillId="0" borderId="0" xfId="0" applyNumberForma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11" fontId="0" fillId="0" borderId="0" xfId="0" applyNumberFormat="1" applyFill="1" applyBorder="1" applyAlignment="1"/>
    <xf numFmtId="172" fontId="0" fillId="0" borderId="0" xfId="0" applyNumberFormat="1" applyFill="1" applyBorder="1" applyAlignment="1"/>
    <xf numFmtId="0" fontId="0" fillId="0" borderId="0" xfId="0" applyNumberFormat="1" applyFill="1" applyBorder="1" applyAlignment="1"/>
    <xf numFmtId="170" fontId="0" fillId="0" borderId="0" xfId="0" applyNumberFormat="1" applyFill="1" applyBorder="1" applyAlignment="1"/>
    <xf numFmtId="166" fontId="7" fillId="0" borderId="18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3" fillId="8" borderId="13" xfId="0" applyFont="1" applyFill="1" applyBorder="1" applyAlignment="1">
      <alignment horizontal="center"/>
    </xf>
    <xf numFmtId="2" fontId="24" fillId="8" borderId="13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2" fontId="0" fillId="0" borderId="40" xfId="0" applyNumberFormat="1" applyFill="1" applyBorder="1" applyAlignment="1">
      <alignment horizontal="center"/>
    </xf>
    <xf numFmtId="165" fontId="0" fillId="0" borderId="4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8" borderId="16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/>
    </xf>
    <xf numFmtId="169" fontId="5" fillId="0" borderId="39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2" fontId="0" fillId="0" borderId="3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32" xfId="0" applyBorder="1"/>
    <xf numFmtId="0" fontId="10" fillId="8" borderId="11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0" xfId="0" applyFill="1" applyBorder="1" applyAlignment="1"/>
    <xf numFmtId="0" fontId="20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8" borderId="16" xfId="0" applyFont="1" applyFill="1" applyBorder="1"/>
    <xf numFmtId="0" fontId="5" fillId="8" borderId="38" xfId="0" applyFont="1" applyFill="1" applyBorder="1"/>
    <xf numFmtId="0" fontId="2" fillId="8" borderId="17" xfId="0" applyFont="1" applyFill="1" applyBorder="1"/>
    <xf numFmtId="0" fontId="0" fillId="0" borderId="0" xfId="0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13" borderId="35" xfId="0" applyFill="1" applyBorder="1" applyAlignment="1">
      <alignment horizontal="center"/>
    </xf>
    <xf numFmtId="165" fontId="0" fillId="13" borderId="32" xfId="0" applyNumberFormat="1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165" fontId="0" fillId="14" borderId="32" xfId="0" applyNumberFormat="1" applyFill="1" applyBorder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/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3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0" xfId="0" applyBorder="1" applyAlignment="1">
      <alignment horizontal="center"/>
    </xf>
    <xf numFmtId="0" fontId="19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0" fillId="9" borderId="7" xfId="0" applyFill="1" applyBorder="1"/>
    <xf numFmtId="0" fontId="5" fillId="9" borderId="6" xfId="0" applyFont="1" applyFill="1" applyBorder="1" applyAlignment="1">
      <alignment horizontal="center"/>
    </xf>
    <xf numFmtId="165" fontId="0" fillId="9" borderId="6" xfId="0" applyNumberForma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2" fontId="0" fillId="9" borderId="6" xfId="0" applyNumberFormat="1" applyFill="1" applyBorder="1" applyAlignment="1">
      <alignment horizontal="center"/>
    </xf>
    <xf numFmtId="2" fontId="0" fillId="9" borderId="30" xfId="0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2" fontId="0" fillId="9" borderId="38" xfId="0" applyNumberFormat="1" applyFill="1" applyBorder="1" applyAlignment="1">
      <alignment horizontal="center"/>
    </xf>
    <xf numFmtId="0" fontId="0" fillId="9" borderId="18" xfId="0" applyFill="1" applyBorder="1"/>
    <xf numFmtId="172" fontId="0" fillId="0" borderId="0" xfId="0" applyNumberFormat="1" applyFill="1" applyBorder="1"/>
    <xf numFmtId="2" fontId="5" fillId="9" borderId="41" xfId="0" applyNumberFormat="1" applyFont="1" applyFill="1" applyBorder="1" applyAlignment="1">
      <alignment horizontal="center"/>
    </xf>
    <xf numFmtId="2" fontId="0" fillId="9" borderId="18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67" fontId="0" fillId="9" borderId="6" xfId="0" applyNumberFormat="1" applyFill="1" applyBorder="1"/>
    <xf numFmtId="167" fontId="0" fillId="9" borderId="6" xfId="0" applyNumberFormat="1" applyFill="1" applyBorder="1" applyAlignment="1">
      <alignment horizontal="center"/>
    </xf>
    <xf numFmtId="167" fontId="0" fillId="9" borderId="38" xfId="0" applyNumberFormat="1" applyFill="1" applyBorder="1" applyAlignment="1">
      <alignment horizontal="center"/>
    </xf>
    <xf numFmtId="165" fontId="0" fillId="9" borderId="18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9" borderId="16" xfId="0" applyNumberFormat="1" applyFill="1" applyBorder="1" applyAlignment="1">
      <alignment horizontal="center"/>
    </xf>
    <xf numFmtId="0" fontId="5" fillId="10" borderId="36" xfId="0" applyFont="1" applyFill="1" applyBorder="1" applyAlignment="1">
      <alignment horizontal="center"/>
    </xf>
    <xf numFmtId="169" fontId="5" fillId="10" borderId="33" xfId="0" applyNumberFormat="1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2" fontId="7" fillId="4" borderId="34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left" vertical="center"/>
    </xf>
    <xf numFmtId="11" fontId="4" fillId="4" borderId="34" xfId="0" applyNumberFormat="1" applyFont="1" applyFill="1" applyBorder="1" applyAlignment="1">
      <alignment horizontal="center" vertical="center"/>
    </xf>
    <xf numFmtId="171" fontId="7" fillId="0" borderId="14" xfId="0" applyNumberFormat="1" applyFont="1" applyFill="1" applyBorder="1" applyAlignment="1">
      <alignment horizontal="center"/>
    </xf>
    <xf numFmtId="0" fontId="5" fillId="10" borderId="50" xfId="0" applyFont="1" applyFill="1" applyBorder="1" applyAlignment="1">
      <alignment horizontal="center"/>
    </xf>
    <xf numFmtId="169" fontId="5" fillId="10" borderId="34" xfId="0" applyNumberFormat="1" applyFont="1" applyFill="1" applyBorder="1" applyAlignment="1">
      <alignment horizontal="right"/>
    </xf>
    <xf numFmtId="0" fontId="10" fillId="7" borderId="44" xfId="0" applyNumberFormat="1" applyFont="1" applyFill="1" applyBorder="1" applyAlignment="1">
      <alignment horizontal="center" vertical="center"/>
    </xf>
    <xf numFmtId="2" fontId="0" fillId="7" borderId="45" xfId="0" applyNumberFormat="1" applyFill="1" applyBorder="1" applyAlignment="1">
      <alignment horizontal="center"/>
    </xf>
    <xf numFmtId="2" fontId="1" fillId="7" borderId="45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Border="1" applyAlignment="1">
      <alignment horizontal="center"/>
    </xf>
    <xf numFmtId="0" fontId="22" fillId="0" borderId="7" xfId="0" applyFont="1" applyBorder="1" applyAlignment="1"/>
    <xf numFmtId="0" fontId="4" fillId="8" borderId="5" xfId="0" applyFont="1" applyFill="1" applyBorder="1" applyAlignment="1"/>
    <xf numFmtId="2" fontId="1" fillId="0" borderId="19" xfId="0" applyNumberFormat="1" applyFont="1" applyBorder="1" applyAlignment="1">
      <alignment horizontal="center"/>
    </xf>
    <xf numFmtId="167" fontId="1" fillId="0" borderId="39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167" fontId="1" fillId="3" borderId="9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167" fontId="1" fillId="4" borderId="9" xfId="0" applyNumberFormat="1" applyFont="1" applyFill="1" applyBorder="1" applyAlignment="1">
      <alignment horizontal="center"/>
    </xf>
    <xf numFmtId="167" fontId="1" fillId="0" borderId="9" xfId="0" applyNumberFormat="1" applyFont="1" applyFill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67" fontId="1" fillId="7" borderId="9" xfId="0" applyNumberFormat="1" applyFont="1" applyFill="1" applyBorder="1" applyAlignment="1">
      <alignment horizontal="center"/>
    </xf>
    <xf numFmtId="167" fontId="1" fillId="0" borderId="15" xfId="0" applyNumberFormat="1" applyFont="1" applyBorder="1" applyAlignment="1">
      <alignment horizontal="center"/>
    </xf>
    <xf numFmtId="0" fontId="6" fillId="8" borderId="7" xfId="0" applyFont="1" applyFill="1" applyBorder="1" applyAlignment="1"/>
    <xf numFmtId="0" fontId="6" fillId="8" borderId="6" xfId="0" applyFont="1" applyFill="1" applyBorder="1" applyAlignment="1"/>
    <xf numFmtId="0" fontId="10" fillId="0" borderId="52" xfId="0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38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0" fontId="2" fillId="0" borderId="14" xfId="0" applyFont="1" applyFill="1" applyBorder="1"/>
    <xf numFmtId="171" fontId="0" fillId="0" borderId="14" xfId="0" applyNumberForma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2" fontId="0" fillId="13" borderId="0" xfId="0" applyNumberFormat="1" applyFill="1" applyBorder="1" applyAlignment="1">
      <alignment horizontal="center"/>
    </xf>
    <xf numFmtId="165" fontId="0" fillId="13" borderId="14" xfId="0" applyNumberFormat="1" applyFill="1" applyBorder="1" applyAlignment="1">
      <alignment horizontal="center"/>
    </xf>
    <xf numFmtId="2" fontId="0" fillId="9" borderId="25" xfId="0" applyNumberFormat="1" applyFill="1" applyBorder="1" applyAlignment="1">
      <alignment horizontal="center"/>
    </xf>
    <xf numFmtId="2" fontId="0" fillId="9" borderId="22" xfId="0" applyNumberForma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/>
    <xf numFmtId="167" fontId="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2" fillId="0" borderId="0" xfId="0" applyFont="1" applyFill="1" applyBorder="1" applyAlignment="1"/>
    <xf numFmtId="0" fontId="5" fillId="8" borderId="5" xfId="0" applyFont="1" applyFill="1" applyBorder="1" applyAlignment="1"/>
    <xf numFmtId="0" fontId="5" fillId="0" borderId="4" xfId="0" applyFont="1" applyBorder="1" applyAlignment="1"/>
    <xf numFmtId="0" fontId="0" fillId="9" borderId="5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65" fontId="5" fillId="0" borderId="20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0" fontId="5" fillId="12" borderId="44" xfId="0" applyFont="1" applyFill="1" applyBorder="1" applyAlignment="1"/>
    <xf numFmtId="0" fontId="5" fillId="12" borderId="45" xfId="0" applyFont="1" applyFill="1" applyBorder="1" applyAlignment="1"/>
    <xf numFmtId="0" fontId="0" fillId="0" borderId="45" xfId="0" applyBorder="1" applyAlignment="1"/>
    <xf numFmtId="0" fontId="0" fillId="0" borderId="47" xfId="0" applyBorder="1" applyAlignment="1"/>
    <xf numFmtId="0" fontId="3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0" xfId="0" applyAlignment="1"/>
    <xf numFmtId="2" fontId="6" fillId="9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5" fillId="10" borderId="10" xfId="0" applyFont="1" applyFill="1" applyBorder="1" applyAlignment="1"/>
    <xf numFmtId="0" fontId="0" fillId="10" borderId="1" xfId="0" applyFill="1" applyBorder="1" applyAlignment="1"/>
    <xf numFmtId="0" fontId="1" fillId="8" borderId="8" xfId="0" applyFont="1" applyFill="1" applyBorder="1" applyAlignment="1"/>
    <xf numFmtId="0" fontId="0" fillId="8" borderId="37" xfId="0" applyFill="1" applyBorder="1" applyAlignment="1"/>
    <xf numFmtId="0" fontId="0" fillId="8" borderId="11" xfId="0" applyFill="1" applyBorder="1" applyAlignment="1"/>
    <xf numFmtId="0" fontId="10" fillId="8" borderId="10" xfId="0" applyFont="1" applyFill="1" applyBorder="1" applyAlignment="1"/>
    <xf numFmtId="0" fontId="0" fillId="8" borderId="1" xfId="0" applyFill="1" applyBorder="1" applyAlignment="1"/>
    <xf numFmtId="0" fontId="0" fillId="8" borderId="12" xfId="0" applyFill="1" applyBorder="1" applyAlignment="1"/>
    <xf numFmtId="0" fontId="1" fillId="9" borderId="51" xfId="0" applyFont="1" applyFill="1" applyBorder="1" applyAlignment="1">
      <alignment horizontal="center"/>
    </xf>
    <xf numFmtId="0" fontId="5" fillId="5" borderId="46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1" fontId="1" fillId="4" borderId="34" xfId="0" applyNumberFormat="1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0" xfId="0" applyFont="1" applyBorder="1" applyAlignment="1"/>
    <xf numFmtId="0" fontId="5" fillId="6" borderId="10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2" fontId="6" fillId="4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7" xfId="0" applyFill="1" applyBorder="1" applyAlignment="1"/>
    <xf numFmtId="0" fontId="0" fillId="4" borderId="31" xfId="0" applyFill="1" applyBorder="1" applyAlignme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/>
    <xf numFmtId="0" fontId="0" fillId="0" borderId="4" xfId="0" applyBorder="1" applyAlignment="1"/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8" borderId="5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9" fillId="8" borderId="5" xfId="0" applyFont="1" applyFill="1" applyBorder="1" applyAlignment="1"/>
    <xf numFmtId="0" fontId="29" fillId="8" borderId="2" xfId="0" applyFont="1" applyFill="1" applyBorder="1" applyAlignment="1"/>
    <xf numFmtId="168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mruColors>
      <color rgb="FFBEC0BF"/>
      <color rgb="FFCDFFFF"/>
      <color rgb="FFFBF995"/>
      <color rgb="FFCCFFFF"/>
      <color rgb="FF00FFFF"/>
      <color rgb="FF66FFCC"/>
      <color rgb="FFF3F67E"/>
      <color rgb="FFBFBFBF"/>
      <color rgb="FFF8F87C"/>
      <color rgb="FFF6ED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2</a:t>
            </a:r>
            <a:r>
              <a:rPr lang="de-DE" sz="10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 Zeit zwischen zwei Verfinsterungen des Mondes Io </a:t>
            </a:r>
          </a:p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>
                <a:solidFill>
                  <a:srgbClr val="000000"/>
                </a:solidFill>
                <a:latin typeface="Arial"/>
                <a:cs typeface="Arial"/>
              </a:rPr>
              <a:t>Januar bis April 1992</a:t>
            </a:r>
          </a:p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 sz="10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6220472440944883"/>
          <c:y val="1.4619924787340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94488188976932E-2"/>
          <c:y val="0.11555985326395604"/>
          <c:w val="0.90866141732284567"/>
          <c:h val="0.79239992347384391"/>
        </c:manualLayout>
      </c:layout>
      <c:scatterChart>
        <c:scatterStyle val="lineMarker"/>
        <c:varyColors val="0"/>
        <c:ser>
          <c:idx val="0"/>
          <c:order val="0"/>
          <c:tx>
            <c:v>Einzelperiode März - Juli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Verfinsterungen!$O$6:$O$15</c:f>
              <c:numCache>
                <c:formatCode>0.0</c:formatCode>
                <c:ptCount val="10"/>
                <c:pt idx="0">
                  <c:v>0.5</c:v>
                </c:pt>
                <c:pt idx="1">
                  <c:v>2.5</c:v>
                </c:pt>
                <c:pt idx="2">
                  <c:v>4.5</c:v>
                </c:pt>
                <c:pt idx="3">
                  <c:v>7</c:v>
                </c:pt>
                <c:pt idx="4">
                  <c:v>11</c:v>
                </c:pt>
                <c:pt idx="5">
                  <c:v>13.5</c:v>
                </c:pt>
                <c:pt idx="6">
                  <c:v>15.5</c:v>
                </c:pt>
                <c:pt idx="7">
                  <c:v>17.5</c:v>
                </c:pt>
                <c:pt idx="8">
                  <c:v>20</c:v>
                </c:pt>
                <c:pt idx="9">
                  <c:v>24</c:v>
                </c:pt>
              </c:numCache>
            </c:numRef>
          </c:xVal>
          <c:yVal>
            <c:numRef>
              <c:f>Verfinsterungen!$E$6:$E$15</c:f>
              <c:numCache>
                <c:formatCode>0.00</c:formatCode>
                <c:ptCount val="10"/>
                <c:pt idx="0">
                  <c:v>2548.499999998603</c:v>
                </c:pt>
                <c:pt idx="1">
                  <c:v>2548.6333333316725</c:v>
                </c:pt>
                <c:pt idx="2">
                  <c:v>2548.6000000010245</c:v>
                </c:pt>
                <c:pt idx="3">
                  <c:v>2548.6499999996158</c:v>
                </c:pt>
                <c:pt idx="4">
                  <c:v>2548.6750000002212</c:v>
                </c:pt>
                <c:pt idx="5">
                  <c:v>2548.8000000058673</c:v>
                </c:pt>
                <c:pt idx="6">
                  <c:v>2548.6999999999534</c:v>
                </c:pt>
                <c:pt idx="7">
                  <c:v>2548.6999999929685</c:v>
                </c:pt>
                <c:pt idx="8">
                  <c:v>2548.7499999994179</c:v>
                </c:pt>
                <c:pt idx="9">
                  <c:v>2548.7500000020373</c:v>
                </c:pt>
              </c:numCache>
            </c:numRef>
          </c:yVal>
          <c:smooth val="0"/>
        </c:ser>
        <c:ser>
          <c:idx val="1"/>
          <c:order val="1"/>
          <c:tx>
            <c:v>Einzelperiode Januar / Februar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Verfinsterungen!$O$55:$O$67</c:f>
              <c:numCache>
                <c:formatCode>0.00</c:formatCode>
                <c:ptCount val="13"/>
                <c:pt idx="0">
                  <c:v>-0.5</c:v>
                </c:pt>
                <c:pt idx="1">
                  <c:v>-2.5</c:v>
                </c:pt>
                <c:pt idx="2">
                  <c:v>-4.5</c:v>
                </c:pt>
                <c:pt idx="3">
                  <c:v>-6.5</c:v>
                </c:pt>
                <c:pt idx="4">
                  <c:v>-8.5</c:v>
                </c:pt>
                <c:pt idx="5">
                  <c:v>-11</c:v>
                </c:pt>
                <c:pt idx="6">
                  <c:v>-13.5</c:v>
                </c:pt>
                <c:pt idx="7">
                  <c:v>-15.5</c:v>
                </c:pt>
                <c:pt idx="8">
                  <c:v>-17.5</c:v>
                </c:pt>
                <c:pt idx="9">
                  <c:v>-20</c:v>
                </c:pt>
                <c:pt idx="10">
                  <c:v>-22.5</c:v>
                </c:pt>
                <c:pt idx="11">
                  <c:v>-24.5</c:v>
                </c:pt>
                <c:pt idx="12">
                  <c:v>-26.5</c:v>
                </c:pt>
              </c:numCache>
            </c:numRef>
          </c:xVal>
          <c:yVal>
            <c:numRef>
              <c:f>Verfinsterungen!$E$55:$E$67</c:f>
              <c:numCache>
                <c:formatCode>0.00</c:formatCode>
                <c:ptCount val="13"/>
                <c:pt idx="0">
                  <c:v>2548.6500000022352</c:v>
                </c:pt>
                <c:pt idx="1">
                  <c:v>2548.566666666884</c:v>
                </c:pt>
                <c:pt idx="2">
                  <c:v>2548.6000000010245</c:v>
                </c:pt>
                <c:pt idx="3">
                  <c:v>2548.5333333327435</c:v>
                </c:pt>
                <c:pt idx="4">
                  <c:v>2548.499999998603</c:v>
                </c:pt>
                <c:pt idx="5">
                  <c:v>2548.499999998603</c:v>
                </c:pt>
                <c:pt idx="6">
                  <c:v>2548.5000000090804</c:v>
                </c:pt>
                <c:pt idx="7">
                  <c:v>2548.4666666644625</c:v>
                </c:pt>
                <c:pt idx="8">
                  <c:v>2548.400000006659</c:v>
                </c:pt>
                <c:pt idx="9">
                  <c:v>2548.4249999994063</c:v>
                </c:pt>
                <c:pt idx="10">
                  <c:v>2548.3999999961816</c:v>
                </c:pt>
                <c:pt idx="11">
                  <c:v>2548.399999999674</c:v>
                </c:pt>
                <c:pt idx="12">
                  <c:v>2548.400000006659</c:v>
                </c:pt>
              </c:numCache>
            </c:numRef>
          </c:yVal>
          <c:smooth val="0"/>
        </c:ser>
        <c:ser>
          <c:idx val="2"/>
          <c:order val="2"/>
          <c:tx>
            <c:v>Fehlerbalken März - Juli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Verfinsterungen!$O$6:$O$15</c:f>
              <c:numCache>
                <c:formatCode>0.0</c:formatCode>
                <c:ptCount val="10"/>
                <c:pt idx="0">
                  <c:v>0.5</c:v>
                </c:pt>
                <c:pt idx="1">
                  <c:v>2.5</c:v>
                </c:pt>
                <c:pt idx="2">
                  <c:v>4.5</c:v>
                </c:pt>
                <c:pt idx="3">
                  <c:v>7</c:v>
                </c:pt>
                <c:pt idx="4">
                  <c:v>11</c:v>
                </c:pt>
                <c:pt idx="5">
                  <c:v>13.5</c:v>
                </c:pt>
                <c:pt idx="6">
                  <c:v>15.5</c:v>
                </c:pt>
                <c:pt idx="7">
                  <c:v>17.5</c:v>
                </c:pt>
                <c:pt idx="8">
                  <c:v>20</c:v>
                </c:pt>
                <c:pt idx="9">
                  <c:v>24</c:v>
                </c:pt>
              </c:numCache>
            </c:numRef>
          </c:xVal>
          <c:yVal>
            <c:numRef>
              <c:f>Verfinsterungen!$M$6:$M$15</c:f>
              <c:numCache>
                <c:formatCode>0.00</c:formatCode>
                <c:ptCount val="10"/>
                <c:pt idx="0">
                  <c:v>2548.5999999986029</c:v>
                </c:pt>
                <c:pt idx="1">
                  <c:v>2548.6663333316724</c:v>
                </c:pt>
                <c:pt idx="2">
                  <c:v>2548.7000000010244</c:v>
                </c:pt>
                <c:pt idx="3">
                  <c:v>2548.6749999996159</c:v>
                </c:pt>
                <c:pt idx="4">
                  <c:v>2548.7000000002213</c:v>
                </c:pt>
                <c:pt idx="5">
                  <c:v>2548.9000000058672</c:v>
                </c:pt>
                <c:pt idx="6">
                  <c:v>2548.7329999999533</c:v>
                </c:pt>
                <c:pt idx="7">
                  <c:v>2548.7999999929684</c:v>
                </c:pt>
                <c:pt idx="8">
                  <c:v>2548.774999999418</c:v>
                </c:pt>
                <c:pt idx="9">
                  <c:v>2548.7750000020374</c:v>
                </c:pt>
              </c:numCache>
            </c:numRef>
          </c:yVal>
          <c:smooth val="0"/>
        </c:ser>
        <c:ser>
          <c:idx val="3"/>
          <c:order val="3"/>
          <c:tx>
            <c:v>Fehlerbalken März - Juli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Verfinsterungen!$O$6:$O$15</c:f>
              <c:numCache>
                <c:formatCode>0.0</c:formatCode>
                <c:ptCount val="10"/>
                <c:pt idx="0">
                  <c:v>0.5</c:v>
                </c:pt>
                <c:pt idx="1">
                  <c:v>2.5</c:v>
                </c:pt>
                <c:pt idx="2">
                  <c:v>4.5</c:v>
                </c:pt>
                <c:pt idx="3">
                  <c:v>7</c:v>
                </c:pt>
                <c:pt idx="4">
                  <c:v>11</c:v>
                </c:pt>
                <c:pt idx="5">
                  <c:v>13.5</c:v>
                </c:pt>
                <c:pt idx="6">
                  <c:v>15.5</c:v>
                </c:pt>
                <c:pt idx="7">
                  <c:v>17.5</c:v>
                </c:pt>
                <c:pt idx="8">
                  <c:v>20</c:v>
                </c:pt>
                <c:pt idx="9">
                  <c:v>24</c:v>
                </c:pt>
              </c:numCache>
            </c:numRef>
          </c:xVal>
          <c:yVal>
            <c:numRef>
              <c:f>Verfinsterungen!$N$6:$N$15</c:f>
              <c:numCache>
                <c:formatCode>0.00</c:formatCode>
                <c:ptCount val="10"/>
                <c:pt idx="0">
                  <c:v>2548.3999999986031</c:v>
                </c:pt>
                <c:pt idx="1">
                  <c:v>2548.6003333316726</c:v>
                </c:pt>
                <c:pt idx="2">
                  <c:v>2548.5000000010245</c:v>
                </c:pt>
                <c:pt idx="3">
                  <c:v>2548.6249999996157</c:v>
                </c:pt>
                <c:pt idx="4">
                  <c:v>2548.6500000002211</c:v>
                </c:pt>
                <c:pt idx="5">
                  <c:v>2548.7000000058674</c:v>
                </c:pt>
                <c:pt idx="6">
                  <c:v>2548.6669999999535</c:v>
                </c:pt>
                <c:pt idx="7">
                  <c:v>2548.5999999929686</c:v>
                </c:pt>
                <c:pt idx="8">
                  <c:v>2548.7249999994178</c:v>
                </c:pt>
                <c:pt idx="9">
                  <c:v>2548.7250000020372</c:v>
                </c:pt>
              </c:numCache>
            </c:numRef>
          </c:yVal>
          <c:smooth val="0"/>
        </c:ser>
        <c:ser>
          <c:idx val="4"/>
          <c:order val="4"/>
          <c:tx>
            <c:v>Fehlerbalken Januar / Februar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Verfinsterungen!$O$55:$O$67</c:f>
              <c:numCache>
                <c:formatCode>0.00</c:formatCode>
                <c:ptCount val="13"/>
                <c:pt idx="0">
                  <c:v>-0.5</c:v>
                </c:pt>
                <c:pt idx="1">
                  <c:v>-2.5</c:v>
                </c:pt>
                <c:pt idx="2">
                  <c:v>-4.5</c:v>
                </c:pt>
                <c:pt idx="3">
                  <c:v>-6.5</c:v>
                </c:pt>
                <c:pt idx="4">
                  <c:v>-8.5</c:v>
                </c:pt>
                <c:pt idx="5">
                  <c:v>-11</c:v>
                </c:pt>
                <c:pt idx="6">
                  <c:v>-13.5</c:v>
                </c:pt>
                <c:pt idx="7">
                  <c:v>-15.5</c:v>
                </c:pt>
                <c:pt idx="8">
                  <c:v>-17.5</c:v>
                </c:pt>
                <c:pt idx="9">
                  <c:v>-20</c:v>
                </c:pt>
                <c:pt idx="10">
                  <c:v>-22.5</c:v>
                </c:pt>
                <c:pt idx="11">
                  <c:v>-24.5</c:v>
                </c:pt>
                <c:pt idx="12">
                  <c:v>-26.5</c:v>
                </c:pt>
              </c:numCache>
            </c:numRef>
          </c:xVal>
          <c:yVal>
            <c:numRef>
              <c:f>Verfinsterungen!$M$55:$M$67</c:f>
              <c:numCache>
                <c:formatCode>0.00</c:formatCode>
                <c:ptCount val="13"/>
                <c:pt idx="0">
                  <c:v>2548.7000000022354</c:v>
                </c:pt>
                <c:pt idx="1">
                  <c:v>2548.5996666668839</c:v>
                </c:pt>
                <c:pt idx="2">
                  <c:v>2548.7000000010244</c:v>
                </c:pt>
                <c:pt idx="3">
                  <c:v>2548.5663333327434</c:v>
                </c:pt>
                <c:pt idx="4">
                  <c:v>2548.5999999986029</c:v>
                </c:pt>
                <c:pt idx="5">
                  <c:v>2548.5249999986031</c:v>
                </c:pt>
                <c:pt idx="6">
                  <c:v>2548.6000000090803</c:v>
                </c:pt>
                <c:pt idx="7">
                  <c:v>2548.4996666644624</c:v>
                </c:pt>
                <c:pt idx="8">
                  <c:v>2548.5000000066589</c:v>
                </c:pt>
                <c:pt idx="9">
                  <c:v>2548.4499999994064</c:v>
                </c:pt>
                <c:pt idx="10">
                  <c:v>2548.4999999961815</c:v>
                </c:pt>
                <c:pt idx="11">
                  <c:v>2548.4329999996739</c:v>
                </c:pt>
                <c:pt idx="12">
                  <c:v>2548.5000000066589</c:v>
                </c:pt>
              </c:numCache>
            </c:numRef>
          </c:yVal>
          <c:smooth val="0"/>
        </c:ser>
        <c:ser>
          <c:idx val="5"/>
          <c:order val="5"/>
          <c:tx>
            <c:v>Fehlerbalken Januar / Februar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Verfinsterungen!$O$55:$O$67</c:f>
              <c:numCache>
                <c:formatCode>0.00</c:formatCode>
                <c:ptCount val="13"/>
                <c:pt idx="0">
                  <c:v>-0.5</c:v>
                </c:pt>
                <c:pt idx="1">
                  <c:v>-2.5</c:v>
                </c:pt>
                <c:pt idx="2">
                  <c:v>-4.5</c:v>
                </c:pt>
                <c:pt idx="3">
                  <c:v>-6.5</c:v>
                </c:pt>
                <c:pt idx="4">
                  <c:v>-8.5</c:v>
                </c:pt>
                <c:pt idx="5">
                  <c:v>-11</c:v>
                </c:pt>
                <c:pt idx="6">
                  <c:v>-13.5</c:v>
                </c:pt>
                <c:pt idx="7">
                  <c:v>-15.5</c:v>
                </c:pt>
                <c:pt idx="8">
                  <c:v>-17.5</c:v>
                </c:pt>
                <c:pt idx="9">
                  <c:v>-20</c:v>
                </c:pt>
                <c:pt idx="10">
                  <c:v>-22.5</c:v>
                </c:pt>
                <c:pt idx="11">
                  <c:v>-24.5</c:v>
                </c:pt>
                <c:pt idx="12">
                  <c:v>-26.5</c:v>
                </c:pt>
              </c:numCache>
            </c:numRef>
          </c:xVal>
          <c:yVal>
            <c:numRef>
              <c:f>Verfinsterungen!$N$55:$N$67</c:f>
              <c:numCache>
                <c:formatCode>0.00</c:formatCode>
                <c:ptCount val="13"/>
                <c:pt idx="0">
                  <c:v>2548.600000002235</c:v>
                </c:pt>
                <c:pt idx="1">
                  <c:v>2548.5336666668841</c:v>
                </c:pt>
                <c:pt idx="2">
                  <c:v>2548.5000000010245</c:v>
                </c:pt>
                <c:pt idx="3">
                  <c:v>2548.5003333327436</c:v>
                </c:pt>
                <c:pt idx="4">
                  <c:v>2548.3999999986031</c:v>
                </c:pt>
                <c:pt idx="5">
                  <c:v>2548.4749999986029</c:v>
                </c:pt>
                <c:pt idx="6">
                  <c:v>2548.4000000090805</c:v>
                </c:pt>
                <c:pt idx="7">
                  <c:v>2548.4336666644626</c:v>
                </c:pt>
                <c:pt idx="8">
                  <c:v>2548.300000006659</c:v>
                </c:pt>
                <c:pt idx="9">
                  <c:v>2548.3999999994062</c:v>
                </c:pt>
                <c:pt idx="10">
                  <c:v>2548.2999999961817</c:v>
                </c:pt>
                <c:pt idx="11">
                  <c:v>2548.3669999996741</c:v>
                </c:pt>
                <c:pt idx="12">
                  <c:v>2548.300000006659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96192"/>
        <c:axId val="93102848"/>
      </c:scatterChart>
      <c:valAx>
        <c:axId val="93096192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Nr. </a:t>
                </a:r>
                <a:r>
                  <a:rPr lang="de-DE" sz="900" b="1" i="1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k </a:t>
                </a:r>
                <a:r>
                  <a:rPr lang="de-DE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der Verfinsterung</a:t>
                </a:r>
              </a:p>
            </c:rich>
          </c:tx>
          <c:layout>
            <c:manualLayout>
              <c:xMode val="edge"/>
              <c:yMode val="edge"/>
              <c:x val="0.72842941879858014"/>
              <c:y val="0.850687628797413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102848"/>
        <c:crosses val="autoZero"/>
        <c:crossBetween val="midCat"/>
        <c:majorUnit val="5"/>
        <c:minorUnit val="1"/>
      </c:valAx>
      <c:valAx>
        <c:axId val="93102848"/>
        <c:scaling>
          <c:orientation val="minMax"/>
          <c:max val="2548.8000000000002"/>
          <c:min val="2548.35000000000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min</a:t>
                </a:r>
                <a:endParaRPr lang="de-DE" sz="900"/>
              </a:p>
            </c:rich>
          </c:tx>
          <c:layout>
            <c:manualLayout>
              <c:xMode val="edge"/>
              <c:yMode val="edge"/>
              <c:x val="0.49889796321522339"/>
              <c:y val="0.1140355459328601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out"/>
        <c:tickLblPos val="nextTo"/>
        <c:spPr>
          <a:solidFill>
            <a:schemeClr val="bg1"/>
          </a:solidFill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96192"/>
        <c:crosses val="autoZero"/>
        <c:crossBetween val="midCat"/>
        <c:majorUnit val="0.1"/>
        <c:minorUnit val="1.0000000000000005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94" footer="0.49212598450000494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3</a:t>
            </a:r>
            <a:r>
              <a:rPr lang="de-DE" sz="900" b="1" i="0" u="none" strike="noStrike">
                <a:solidFill>
                  <a:srgbClr val="000000"/>
                </a:solidFill>
                <a:latin typeface="Arial"/>
                <a:cs typeface="Arial"/>
              </a:rPr>
              <a:t>  Entfernung Jup. - Erde  Sept. 91 bis Juni 92</a:t>
            </a:r>
          </a:p>
        </c:rich>
      </c:tx>
      <c:layout>
        <c:manualLayout>
          <c:xMode val="edge"/>
          <c:yMode val="edge"/>
          <c:x val="0.1453637643027596"/>
          <c:y val="2.2662889518413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50523159762589E-2"/>
          <c:y val="0.10198300283286105"/>
          <c:w val="0.8897264884048216"/>
          <c:h val="0.8101983002832866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2"/>
          </c:marker>
          <c:trendline>
            <c:spPr>
              <a:ln>
                <a:solidFill>
                  <a:srgbClr val="C00000"/>
                </a:solidFill>
              </a:ln>
            </c:spPr>
            <c:trendlineType val="poly"/>
            <c:order val="6"/>
            <c:dispRSqr val="0"/>
            <c:dispEq val="0"/>
          </c:trendline>
          <c:xVal>
            <c:numRef>
              <c:f>Verfinsterungen!$A$5:$A$21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13</c:v>
                </c:pt>
                <c:pt idx="6">
                  <c:v>14</c:v>
                </c:pt>
                <c:pt idx="7">
                  <c:v>17</c:v>
                </c:pt>
                <c:pt idx="8">
                  <c:v>18</c:v>
                </c:pt>
                <c:pt idx="9">
                  <c:v>22</c:v>
                </c:pt>
                <c:pt idx="10">
                  <c:v>26</c:v>
                </c:pt>
                <c:pt idx="11">
                  <c:v>31</c:v>
                </c:pt>
                <c:pt idx="12">
                  <c:v>35</c:v>
                </c:pt>
                <c:pt idx="13">
                  <c:v>44</c:v>
                </c:pt>
                <c:pt idx="14">
                  <c:v>48</c:v>
                </c:pt>
                <c:pt idx="15">
                  <c:v>57</c:v>
                </c:pt>
                <c:pt idx="16">
                  <c:v>70</c:v>
                </c:pt>
              </c:numCache>
            </c:numRef>
          </c:xVal>
          <c:yVal>
            <c:numRef>
              <c:f>Verfinsterungen!$H$5:$H$21</c:f>
              <c:numCache>
                <c:formatCode>0.000</c:formatCode>
                <c:ptCount val="17"/>
                <c:pt idx="0">
                  <c:v>4.4131999999999998</c:v>
                </c:pt>
                <c:pt idx="1">
                  <c:v>4.4143999999999997</c:v>
                </c:pt>
                <c:pt idx="2">
                  <c:v>4.42</c:v>
                </c:pt>
                <c:pt idx="3">
                  <c:v>4.4219999999999997</c:v>
                </c:pt>
                <c:pt idx="4">
                  <c:v>4.4509999999999996</c:v>
                </c:pt>
                <c:pt idx="5">
                  <c:v>4.4954000000000001</c:v>
                </c:pt>
                <c:pt idx="6">
                  <c:v>4.5095999999999998</c:v>
                </c:pt>
                <c:pt idx="7">
                  <c:v>4.5476999999999999</c:v>
                </c:pt>
                <c:pt idx="8">
                  <c:v>4.5629999999999997</c:v>
                </c:pt>
                <c:pt idx="9">
                  <c:v>4.6349999999999998</c:v>
                </c:pt>
                <c:pt idx="10">
                  <c:v>4.7169999999999996</c:v>
                </c:pt>
                <c:pt idx="11">
                  <c:v>4.82</c:v>
                </c:pt>
                <c:pt idx="12">
                  <c:v>4.93</c:v>
                </c:pt>
                <c:pt idx="13">
                  <c:v>5.1559999999999997</c:v>
                </c:pt>
                <c:pt idx="14">
                  <c:v>5.2809999999999997</c:v>
                </c:pt>
                <c:pt idx="15">
                  <c:v>5.524</c:v>
                </c:pt>
                <c:pt idx="16">
                  <c:v>5.8550000000000004</c:v>
                </c:pt>
              </c:numCache>
            </c:numRef>
          </c:yVal>
          <c:smooth val="0"/>
        </c:ser>
        <c:ser>
          <c:idx val="0"/>
          <c:order val="1"/>
          <c:spPr>
            <a:ln w="28575">
              <a:noFill/>
            </a:ln>
          </c:spPr>
          <c:marker>
            <c:symbol val="circle"/>
            <c:size val="2"/>
          </c:marker>
          <c:trendline>
            <c:trendlineType val="log"/>
            <c:dispRSqr val="0"/>
            <c:dispEq val="0"/>
          </c:trendline>
          <c:trendline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trendlineType val="poly"/>
            <c:order val="6"/>
            <c:dispRSqr val="0"/>
            <c:dispEq val="0"/>
          </c:trendline>
          <c:xVal>
            <c:numRef>
              <c:f>Verfinsterungen!$A$54:$A$81</c:f>
              <c:numCache>
                <c:formatCode>General</c:formatCode>
                <c:ptCount val="28"/>
                <c:pt idx="0">
                  <c:v>0</c:v>
                </c:pt>
                <c:pt idx="1">
                  <c:v>-1</c:v>
                </c:pt>
                <c:pt idx="2">
                  <c:v>-4</c:v>
                </c:pt>
                <c:pt idx="3">
                  <c:v>-5</c:v>
                </c:pt>
                <c:pt idx="4">
                  <c:v>-8</c:v>
                </c:pt>
                <c:pt idx="5">
                  <c:v>-9</c:v>
                </c:pt>
                <c:pt idx="6">
                  <c:v>-13</c:v>
                </c:pt>
                <c:pt idx="7">
                  <c:v>-14</c:v>
                </c:pt>
                <c:pt idx="8">
                  <c:v>-17</c:v>
                </c:pt>
                <c:pt idx="9">
                  <c:v>-18</c:v>
                </c:pt>
                <c:pt idx="10">
                  <c:v>-22</c:v>
                </c:pt>
                <c:pt idx="11">
                  <c:v>-23</c:v>
                </c:pt>
                <c:pt idx="12">
                  <c:v>-26</c:v>
                </c:pt>
                <c:pt idx="13">
                  <c:v>-27</c:v>
                </c:pt>
                <c:pt idx="14">
                  <c:v>-31</c:v>
                </c:pt>
                <c:pt idx="15">
                  <c:v>-35</c:v>
                </c:pt>
                <c:pt idx="16">
                  <c:v>-36</c:v>
                </c:pt>
                <c:pt idx="17">
                  <c:v>-39</c:v>
                </c:pt>
                <c:pt idx="18">
                  <c:v>-40</c:v>
                </c:pt>
                <c:pt idx="19">
                  <c:v>-44</c:v>
                </c:pt>
                <c:pt idx="20">
                  <c:v>-48</c:v>
                </c:pt>
                <c:pt idx="21">
                  <c:v>-49</c:v>
                </c:pt>
                <c:pt idx="22">
                  <c:v>-53</c:v>
                </c:pt>
                <c:pt idx="23">
                  <c:v>-57</c:v>
                </c:pt>
                <c:pt idx="24">
                  <c:v>-66</c:v>
                </c:pt>
                <c:pt idx="25">
                  <c:v>-70</c:v>
                </c:pt>
                <c:pt idx="26">
                  <c:v>-79</c:v>
                </c:pt>
                <c:pt idx="27">
                  <c:v>-92</c:v>
                </c:pt>
              </c:numCache>
            </c:numRef>
          </c:xVal>
          <c:yVal>
            <c:numRef>
              <c:f>Verfinsterungen!$H$54:$H$81</c:f>
              <c:numCache>
                <c:formatCode>0.000</c:formatCode>
                <c:ptCount val="28"/>
                <c:pt idx="0">
                  <c:v>4.4131999999999998</c:v>
                </c:pt>
                <c:pt idx="1">
                  <c:v>4.4138999999999999</c:v>
                </c:pt>
                <c:pt idx="2">
                  <c:v>4.4234</c:v>
                </c:pt>
                <c:pt idx="3">
                  <c:v>4.4272</c:v>
                </c:pt>
                <c:pt idx="4">
                  <c:v>4.4459999999999997</c:v>
                </c:pt>
                <c:pt idx="5">
                  <c:v>4.4559999999999995</c:v>
                </c:pt>
                <c:pt idx="6">
                  <c:v>4.4965999999999999</c:v>
                </c:pt>
                <c:pt idx="7">
                  <c:v>4.5122</c:v>
                </c:pt>
                <c:pt idx="8">
                  <c:v>4.5511999999999997</c:v>
                </c:pt>
                <c:pt idx="9">
                  <c:v>4.5693000000000001</c:v>
                </c:pt>
                <c:pt idx="10">
                  <c:v>4.6414</c:v>
                </c:pt>
                <c:pt idx="11">
                  <c:v>4.6619999999999999</c:v>
                </c:pt>
                <c:pt idx="12">
                  <c:v>4.7240000000000002</c:v>
                </c:pt>
                <c:pt idx="13">
                  <c:v>4.7487999999999992</c:v>
                </c:pt>
                <c:pt idx="14" formatCode="General">
                  <c:v>4.8419999999999996</c:v>
                </c:pt>
                <c:pt idx="15" formatCode="General">
                  <c:v>4.9409999999999998</c:v>
                </c:pt>
                <c:pt idx="16" formatCode="General">
                  <c:v>4.9710000000000001</c:v>
                </c:pt>
                <c:pt idx="17" formatCode="General">
                  <c:v>5.0459999999999994</c:v>
                </c:pt>
                <c:pt idx="18" formatCode="General">
                  <c:v>5.0759999999999996</c:v>
                </c:pt>
                <c:pt idx="19">
                  <c:v>5.1858999999999993</c:v>
                </c:pt>
                <c:pt idx="20">
                  <c:v>5.2961999999999998</c:v>
                </c:pt>
                <c:pt idx="21">
                  <c:v>5.3250000000000002</c:v>
                </c:pt>
                <c:pt idx="22">
                  <c:v>5.4378000000000002</c:v>
                </c:pt>
                <c:pt idx="23">
                  <c:v>5.5469999999999997</c:v>
                </c:pt>
                <c:pt idx="24">
                  <c:v>5.7809999999999997</c:v>
                </c:pt>
                <c:pt idx="25">
                  <c:v>5.8750999999999998</c:v>
                </c:pt>
                <c:pt idx="26">
                  <c:v>6.0659999999999998</c:v>
                </c:pt>
                <c:pt idx="27">
                  <c:v>6.2615999999999996</c:v>
                </c:pt>
              </c:numCache>
            </c:numRef>
          </c:yVal>
          <c:smooth val="0"/>
        </c:ser>
        <c:ser>
          <c:idx val="2"/>
          <c:order val="2"/>
          <c:tx>
            <c:v> Opposition am 29. 2. 92</c:v>
          </c:tx>
          <c:spPr>
            <a:ln w="2540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 w="22225">
                <a:solidFill>
                  <a:srgbClr val="000000"/>
                </a:solidFill>
              </a:ln>
            </c:spPr>
          </c:marker>
          <c:xVal>
            <c:numRef>
              <c:f>Verfinsterungen!$K$86</c:f>
              <c:numCache>
                <c:formatCode>0</c:formatCode>
                <c:ptCount val="1"/>
                <c:pt idx="0">
                  <c:v>0</c:v>
                </c:pt>
              </c:numCache>
            </c:numRef>
          </c:xVal>
          <c:yVal>
            <c:numRef>
              <c:f>Verfinsterungen!$L$86</c:f>
              <c:numCache>
                <c:formatCode>0.000</c:formatCode>
                <c:ptCount val="1"/>
                <c:pt idx="0">
                  <c:v>4.4130000000000003</c:v>
                </c:pt>
              </c:numCache>
            </c:numRef>
          </c:yVal>
          <c:smooth val="0"/>
        </c:ser>
        <c:ser>
          <c:idx val="3"/>
          <c:order val="3"/>
          <c:tx>
            <c:v> 12.10.1991</c:v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Verfinsterungen!$K$87</c:f>
              <c:numCache>
                <c:formatCode>General</c:formatCode>
                <c:ptCount val="1"/>
                <c:pt idx="0">
                  <c:v>-79</c:v>
                </c:pt>
              </c:numCache>
            </c:numRef>
          </c:xVal>
          <c:yVal>
            <c:numRef>
              <c:f>Verfinsterungen!$L$87</c:f>
              <c:numCache>
                <c:formatCode>0.000</c:formatCode>
                <c:ptCount val="1"/>
                <c:pt idx="0">
                  <c:v>6.0659999999999998</c:v>
                </c:pt>
              </c:numCache>
            </c:numRef>
          </c:yVal>
          <c:smooth val="0"/>
        </c:ser>
        <c:ser>
          <c:idx val="4"/>
          <c:order val="4"/>
          <c:tx>
            <c:v>15.04.1992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</c:spPr>
          </c:marker>
          <c:xVal>
            <c:numRef>
              <c:f>Verfinsterungen!$K$88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Verfinsterungen!$L$88</c:f>
              <c:numCache>
                <c:formatCode>0.000</c:formatCode>
                <c:ptCount val="1"/>
                <c:pt idx="0">
                  <c:v>4.7169999999999996</c:v>
                </c:pt>
              </c:numCache>
            </c:numRef>
          </c:yVal>
          <c:smooth val="0"/>
        </c:ser>
        <c:ser>
          <c:idx val="5"/>
          <c:order val="5"/>
          <c:tx>
            <c:v> 01.07.1992</c:v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chemeClr val="accent3">
                  <a:lumMod val="50000"/>
                </a:schemeClr>
              </a:solidFill>
            </c:spPr>
          </c:marker>
          <c:xVal>
            <c:numRef>
              <c:f>Verfinsterungen!$K$89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Verfinsterungen!$L$89</c:f>
              <c:numCache>
                <c:formatCode>0.000</c:formatCode>
                <c:ptCount val="1"/>
                <c:pt idx="0">
                  <c:v>5.8550000000000004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91456"/>
        <c:axId val="41502208"/>
      </c:scatterChart>
      <c:valAx>
        <c:axId val="41491456"/>
        <c:scaling>
          <c:orientation val="minMax"/>
          <c:max val="70"/>
          <c:min val="-9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Nr. der Verf.</a:t>
                </a:r>
              </a:p>
            </c:rich>
          </c:tx>
          <c:layout>
            <c:manualLayout>
              <c:xMode val="edge"/>
              <c:yMode val="edge"/>
              <c:x val="0.8087602135355052"/>
              <c:y val="0.8573816272965878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502208"/>
        <c:crosses val="autoZero"/>
        <c:crossBetween val="midCat"/>
        <c:majorUnit val="10"/>
      </c:valAx>
      <c:valAx>
        <c:axId val="41502208"/>
        <c:scaling>
          <c:orientation val="minMax"/>
          <c:max val="6.3"/>
          <c:min val="4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de-DE" sz="900" b="1" i="0" strike="noStrike">
                    <a:solidFill>
                      <a:srgbClr val="000000"/>
                    </a:solidFill>
                    <a:latin typeface="Symbol"/>
                  </a:rPr>
                  <a:t>D </a:t>
                </a:r>
                <a:r>
                  <a:rPr lang="de-DE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/ AE</a:t>
                </a:r>
              </a:p>
            </c:rich>
          </c:tx>
          <c:layout>
            <c:manualLayout>
              <c:xMode val="edge"/>
              <c:yMode val="edge"/>
              <c:x val="0.57693954577991757"/>
              <c:y val="8.4985835694051048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491456"/>
        <c:crosses val="autoZero"/>
        <c:crossBetween val="midCat"/>
        <c:majorUnit val="0.2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7341597796143251"/>
          <c:y val="0.16483474976392823"/>
          <c:w val="0.28567493112948428"/>
          <c:h val="0.22795280767418866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94" footer="0.49212598450000494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4b</a:t>
            </a:r>
            <a:r>
              <a:rPr lang="de-DE" sz="9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Werte für die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Lichtgeschw. in Abhängigkeit von der Anzahl 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│</a:t>
            </a:r>
            <a:r>
              <a:rPr lang="de-DE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│ 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der gewerteten Umläufe</a:t>
            </a:r>
            <a:endParaRPr lang="de-DE" sz="90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753884513611003"/>
          <c:y val="1.2107584490083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54122351229895E-2"/>
          <c:y val="0.14248704663212877"/>
          <c:w val="0.94022691291627192"/>
          <c:h val="0.77720207253888185"/>
        </c:manualLayout>
      </c:layout>
      <c:scatterChart>
        <c:scatterStyle val="smoothMarker"/>
        <c:varyColors val="0"/>
        <c:ser>
          <c:idx val="0"/>
          <c:order val="0"/>
          <c:tx>
            <c:v>März bis Juni 92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Verfinsterungen!$A$10:$A$21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31</c:v>
                </c:pt>
                <c:pt idx="7">
                  <c:v>35</c:v>
                </c:pt>
                <c:pt idx="8">
                  <c:v>44</c:v>
                </c:pt>
                <c:pt idx="9">
                  <c:v>48</c:v>
                </c:pt>
                <c:pt idx="10">
                  <c:v>57</c:v>
                </c:pt>
                <c:pt idx="11">
                  <c:v>70</c:v>
                </c:pt>
              </c:numCache>
            </c:numRef>
          </c:xVal>
          <c:yVal>
            <c:numRef>
              <c:f>Verfinsterungen!$I$10:$I$21</c:f>
              <c:numCache>
                <c:formatCode>0.0E+00</c:formatCode>
                <c:ptCount val="12"/>
                <c:pt idx="0">
                  <c:v>325316006.1168505</c:v>
                </c:pt>
                <c:pt idx="1">
                  <c:v>286135608.54034412</c:v>
                </c:pt>
                <c:pt idx="2">
                  <c:v>286622699.7120353</c:v>
                </c:pt>
                <c:pt idx="3">
                  <c:v>291793763.72450572</c:v>
                </c:pt>
                <c:pt idx="4">
                  <c:v>288027844.90135944</c:v>
                </c:pt>
                <c:pt idx="5">
                  <c:v>295884328.98692769</c:v>
                </c:pt>
                <c:pt idx="6">
                  <c:v>288966826.30717623</c:v>
                </c:pt>
                <c:pt idx="7">
                  <c:v>296215246.27672929</c:v>
                </c:pt>
                <c:pt idx="8">
                  <c:v>296798338.38366503</c:v>
                </c:pt>
                <c:pt idx="9">
                  <c:v>305605064.96321625</c:v>
                </c:pt>
                <c:pt idx="10">
                  <c:v>315798772.50189614</c:v>
                </c:pt>
                <c:pt idx="11">
                  <c:v>329801542.94656914</c:v>
                </c:pt>
              </c:numCache>
            </c:numRef>
          </c:yVal>
          <c:smooth val="0"/>
        </c:ser>
        <c:ser>
          <c:idx val="1"/>
          <c:order val="1"/>
          <c:tx>
            <c:v>März bis Juni 92  Fehlerbalken unten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Verfinsterungen!$A$10:$A$21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31</c:v>
                </c:pt>
                <c:pt idx="7">
                  <c:v>35</c:v>
                </c:pt>
                <c:pt idx="8">
                  <c:v>44</c:v>
                </c:pt>
                <c:pt idx="9">
                  <c:v>48</c:v>
                </c:pt>
                <c:pt idx="10">
                  <c:v>57</c:v>
                </c:pt>
                <c:pt idx="11">
                  <c:v>70</c:v>
                </c:pt>
              </c:numCache>
            </c:numRef>
          </c:xVal>
          <c:yVal>
            <c:numRef>
              <c:f>Verfinsterungen!$J$10:$J$21</c:f>
              <c:numCache>
                <c:formatCode>0.0E+00</c:formatCode>
                <c:ptCount val="12"/>
                <c:pt idx="0">
                  <c:v>206549844.02145338</c:v>
                </c:pt>
                <c:pt idx="1">
                  <c:v>204382577.51502281</c:v>
                </c:pt>
                <c:pt idx="2">
                  <c:v>220478999.76275933</c:v>
                </c:pt>
                <c:pt idx="3">
                  <c:v>227963877.54506698</c:v>
                </c:pt>
                <c:pt idx="4">
                  <c:v>240023203.84338313</c:v>
                </c:pt>
                <c:pt idx="5">
                  <c:v>254275595.19897828</c:v>
                </c:pt>
                <c:pt idx="6">
                  <c:v>255212866.48125646</c:v>
                </c:pt>
                <c:pt idx="7">
                  <c:v>265572289.74067986</c:v>
                </c:pt>
                <c:pt idx="8">
                  <c:v>271113866.78009433</c:v>
                </c:pt>
                <c:pt idx="9">
                  <c:v>280569621.78626287</c:v>
                </c:pt>
                <c:pt idx="10">
                  <c:v>291672754.52052867</c:v>
                </c:pt>
                <c:pt idx="11">
                  <c:v>305595925.10204291</c:v>
                </c:pt>
              </c:numCache>
            </c:numRef>
          </c:yVal>
          <c:smooth val="0"/>
        </c:ser>
        <c:ser>
          <c:idx val="2"/>
          <c:order val="2"/>
          <c:tx>
            <c:v>März bis Juni 92  Fehlerbalken oben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Verfinsterungen!$A$10:$A$21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31</c:v>
                </c:pt>
                <c:pt idx="7">
                  <c:v>35</c:v>
                </c:pt>
                <c:pt idx="8">
                  <c:v>44</c:v>
                </c:pt>
                <c:pt idx="9">
                  <c:v>48</c:v>
                </c:pt>
                <c:pt idx="10">
                  <c:v>57</c:v>
                </c:pt>
                <c:pt idx="11">
                  <c:v>70</c:v>
                </c:pt>
              </c:numCache>
            </c:numRef>
          </c:xVal>
          <c:yVal>
            <c:numRef>
              <c:f>Verfinsterungen!$K$10:$K$21</c:f>
              <c:numCache>
                <c:formatCode>0.0E+00</c:formatCode>
                <c:ptCount val="12"/>
                <c:pt idx="0">
                  <c:v>444082168.21224761</c:v>
                </c:pt>
                <c:pt idx="1">
                  <c:v>367888639.56566542</c:v>
                </c:pt>
                <c:pt idx="2">
                  <c:v>352766399.66131127</c:v>
                </c:pt>
                <c:pt idx="3">
                  <c:v>355623649.90394443</c:v>
                </c:pt>
                <c:pt idx="4">
                  <c:v>336032485.95933574</c:v>
                </c:pt>
                <c:pt idx="5">
                  <c:v>337493062.77487707</c:v>
                </c:pt>
                <c:pt idx="6">
                  <c:v>322720786.13309598</c:v>
                </c:pt>
                <c:pt idx="7">
                  <c:v>326858202.81277871</c:v>
                </c:pt>
                <c:pt idx="8">
                  <c:v>322482809.98723572</c:v>
                </c:pt>
                <c:pt idx="9">
                  <c:v>330640508.14016962</c:v>
                </c:pt>
                <c:pt idx="10">
                  <c:v>339924790.48326361</c:v>
                </c:pt>
                <c:pt idx="11">
                  <c:v>354007160.79109538</c:v>
                </c:pt>
              </c:numCache>
            </c:numRef>
          </c:yVal>
          <c:smooth val="0"/>
        </c:ser>
        <c:ser>
          <c:idx val="3"/>
          <c:order val="3"/>
          <c:tx>
            <c:v>Nov. 91 bis Febr. 92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Verfinsterungen!$A$61:$A$78</c:f>
              <c:numCache>
                <c:formatCode>General</c:formatCode>
                <c:ptCount val="18"/>
                <c:pt idx="0">
                  <c:v>-14</c:v>
                </c:pt>
                <c:pt idx="1">
                  <c:v>-17</c:v>
                </c:pt>
                <c:pt idx="2">
                  <c:v>-18</c:v>
                </c:pt>
                <c:pt idx="3">
                  <c:v>-22</c:v>
                </c:pt>
                <c:pt idx="4">
                  <c:v>-23</c:v>
                </c:pt>
                <c:pt idx="5">
                  <c:v>-26</c:v>
                </c:pt>
                <c:pt idx="6">
                  <c:v>-27</c:v>
                </c:pt>
                <c:pt idx="7">
                  <c:v>-31</c:v>
                </c:pt>
                <c:pt idx="8">
                  <c:v>-35</c:v>
                </c:pt>
                <c:pt idx="9">
                  <c:v>-36</c:v>
                </c:pt>
                <c:pt idx="10">
                  <c:v>-39</c:v>
                </c:pt>
                <c:pt idx="11">
                  <c:v>-40</c:v>
                </c:pt>
                <c:pt idx="12">
                  <c:v>-44</c:v>
                </c:pt>
                <c:pt idx="13">
                  <c:v>-48</c:v>
                </c:pt>
                <c:pt idx="14">
                  <c:v>-49</c:v>
                </c:pt>
                <c:pt idx="15">
                  <c:v>-53</c:v>
                </c:pt>
                <c:pt idx="16">
                  <c:v>-57</c:v>
                </c:pt>
                <c:pt idx="17">
                  <c:v>-66</c:v>
                </c:pt>
              </c:numCache>
            </c:numRef>
          </c:xVal>
          <c:yVal>
            <c:numRef>
              <c:f>Verfinsterungen!$I$61:$I$78</c:f>
              <c:numCache>
                <c:formatCode>0.0E+00</c:formatCode>
                <c:ptCount val="18"/>
                <c:pt idx="0">
                  <c:v>347657023.9049226</c:v>
                </c:pt>
                <c:pt idx="1">
                  <c:v>318588055.78126353</c:v>
                </c:pt>
                <c:pt idx="2">
                  <c:v>306459679.60270113</c:v>
                </c:pt>
                <c:pt idx="3">
                  <c:v>294803402.139153</c:v>
                </c:pt>
                <c:pt idx="4">
                  <c:v>292609669.98709255</c:v>
                </c:pt>
                <c:pt idx="5">
                  <c:v>288073221.47558028</c:v>
                </c:pt>
                <c:pt idx="6">
                  <c:v>290538456.23622781</c:v>
                </c:pt>
                <c:pt idx="7">
                  <c:v>278418258.38921493</c:v>
                </c:pt>
                <c:pt idx="8">
                  <c:v>274158873.96919912</c:v>
                </c:pt>
                <c:pt idx="9">
                  <c:v>273234092.57673949</c:v>
                </c:pt>
                <c:pt idx="10">
                  <c:v>269242127.98147482</c:v>
                </c:pt>
                <c:pt idx="11">
                  <c:v>268708585.90140164</c:v>
                </c:pt>
                <c:pt idx="12">
                  <c:v>263552836.78453758</c:v>
                </c:pt>
                <c:pt idx="13">
                  <c:v>256894047.40179825</c:v>
                </c:pt>
                <c:pt idx="14">
                  <c:v>256590176.62780172</c:v>
                </c:pt>
                <c:pt idx="15">
                  <c:v>254953389.1710915</c:v>
                </c:pt>
                <c:pt idx="16">
                  <c:v>250611798.2200627</c:v>
                </c:pt>
                <c:pt idx="17">
                  <c:v>252804505.24636811</c:v>
                </c:pt>
              </c:numCache>
            </c:numRef>
          </c:yVal>
          <c:smooth val="0"/>
        </c:ser>
        <c:ser>
          <c:idx val="4"/>
          <c:order val="4"/>
          <c:tx>
            <c:v>Nov. 91 bis Febr. 92 Fehlerbalken unten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Verfinsterungen!$A$61:$A$78</c:f>
              <c:numCache>
                <c:formatCode>General</c:formatCode>
                <c:ptCount val="18"/>
                <c:pt idx="0">
                  <c:v>-14</c:v>
                </c:pt>
                <c:pt idx="1">
                  <c:v>-17</c:v>
                </c:pt>
                <c:pt idx="2">
                  <c:v>-18</c:v>
                </c:pt>
                <c:pt idx="3">
                  <c:v>-22</c:v>
                </c:pt>
                <c:pt idx="4">
                  <c:v>-23</c:v>
                </c:pt>
                <c:pt idx="5">
                  <c:v>-26</c:v>
                </c:pt>
                <c:pt idx="6">
                  <c:v>-27</c:v>
                </c:pt>
                <c:pt idx="7">
                  <c:v>-31</c:v>
                </c:pt>
                <c:pt idx="8">
                  <c:v>-35</c:v>
                </c:pt>
                <c:pt idx="9">
                  <c:v>-36</c:v>
                </c:pt>
                <c:pt idx="10">
                  <c:v>-39</c:v>
                </c:pt>
                <c:pt idx="11">
                  <c:v>-40</c:v>
                </c:pt>
                <c:pt idx="12">
                  <c:v>-44</c:v>
                </c:pt>
                <c:pt idx="13">
                  <c:v>-48</c:v>
                </c:pt>
                <c:pt idx="14">
                  <c:v>-49</c:v>
                </c:pt>
                <c:pt idx="15">
                  <c:v>-53</c:v>
                </c:pt>
                <c:pt idx="16">
                  <c:v>-57</c:v>
                </c:pt>
                <c:pt idx="17">
                  <c:v>-66</c:v>
                </c:pt>
              </c:numCache>
            </c:numRef>
          </c:xVal>
          <c:yVal>
            <c:numRef>
              <c:f>Verfinsterungen!$J$61:$J$78</c:f>
              <c:numCache>
                <c:formatCode>0.0E+00</c:formatCode>
                <c:ptCount val="18"/>
                <c:pt idx="0">
                  <c:v>230139155.96840703</c:v>
                </c:pt>
                <c:pt idx="1">
                  <c:v>238941042.01100206</c:v>
                </c:pt>
                <c:pt idx="2">
                  <c:v>238893765.7617268</c:v>
                </c:pt>
                <c:pt idx="3">
                  <c:v>245924081.52894914</c:v>
                </c:pt>
                <c:pt idx="4">
                  <c:v>247061938.37932739</c:v>
                </c:pt>
                <c:pt idx="5">
                  <c:v>249520671.4309563</c:v>
                </c:pt>
                <c:pt idx="6">
                  <c:v>253212335.07375884</c:v>
                </c:pt>
                <c:pt idx="7">
                  <c:v>248691308.89015803</c:v>
                </c:pt>
                <c:pt idx="8">
                  <c:v>248456479.56156284</c:v>
                </c:pt>
                <c:pt idx="9">
                  <c:v>248541031.16895497</c:v>
                </c:pt>
                <c:pt idx="10">
                  <c:v>246728707.70882514</c:v>
                </c:pt>
                <c:pt idx="11">
                  <c:v>246862359.41380951</c:v>
                </c:pt>
                <c:pt idx="12">
                  <c:v>244083817.36684865</c:v>
                </c:pt>
                <c:pt idx="13">
                  <c:v>239507985.85542235</c:v>
                </c:pt>
                <c:pt idx="14">
                  <c:v>239503471.85997266</c:v>
                </c:pt>
                <c:pt idx="15">
                  <c:v>238923385.66371638</c:v>
                </c:pt>
                <c:pt idx="16">
                  <c:v>235726168.35867214</c:v>
                </c:pt>
                <c:pt idx="17">
                  <c:v>238561997.91130018</c:v>
                </c:pt>
              </c:numCache>
            </c:numRef>
          </c:yVal>
          <c:smooth val="0"/>
        </c:ser>
        <c:ser>
          <c:idx val="5"/>
          <c:order val="5"/>
          <c:tx>
            <c:v>Nov. 91 bis Febr. 92 Fehlerbalken oben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Verfinsterungen!$A$61:$A$78</c:f>
              <c:numCache>
                <c:formatCode>General</c:formatCode>
                <c:ptCount val="18"/>
                <c:pt idx="0">
                  <c:v>-14</c:v>
                </c:pt>
                <c:pt idx="1">
                  <c:v>-17</c:v>
                </c:pt>
                <c:pt idx="2">
                  <c:v>-18</c:v>
                </c:pt>
                <c:pt idx="3">
                  <c:v>-22</c:v>
                </c:pt>
                <c:pt idx="4">
                  <c:v>-23</c:v>
                </c:pt>
                <c:pt idx="5">
                  <c:v>-26</c:v>
                </c:pt>
                <c:pt idx="6">
                  <c:v>-27</c:v>
                </c:pt>
                <c:pt idx="7">
                  <c:v>-31</c:v>
                </c:pt>
                <c:pt idx="8">
                  <c:v>-35</c:v>
                </c:pt>
                <c:pt idx="9">
                  <c:v>-36</c:v>
                </c:pt>
                <c:pt idx="10">
                  <c:v>-39</c:v>
                </c:pt>
                <c:pt idx="11">
                  <c:v>-40</c:v>
                </c:pt>
                <c:pt idx="12">
                  <c:v>-44</c:v>
                </c:pt>
                <c:pt idx="13">
                  <c:v>-48</c:v>
                </c:pt>
                <c:pt idx="14">
                  <c:v>-49</c:v>
                </c:pt>
                <c:pt idx="15">
                  <c:v>-53</c:v>
                </c:pt>
                <c:pt idx="16">
                  <c:v>-57</c:v>
                </c:pt>
                <c:pt idx="17">
                  <c:v>-66</c:v>
                </c:pt>
              </c:numCache>
            </c:numRef>
          </c:xVal>
          <c:yVal>
            <c:numRef>
              <c:f>Verfinsterungen!$K$61:$K$78</c:f>
              <c:numCache>
                <c:formatCode>0.0E+00</c:formatCode>
                <c:ptCount val="18"/>
                <c:pt idx="0">
                  <c:v>465174891.84143817</c:v>
                </c:pt>
                <c:pt idx="1">
                  <c:v>398235069.551525</c:v>
                </c:pt>
                <c:pt idx="2">
                  <c:v>374025593.44367546</c:v>
                </c:pt>
                <c:pt idx="3">
                  <c:v>343682722.74935687</c:v>
                </c:pt>
                <c:pt idx="4">
                  <c:v>338157401.59485769</c:v>
                </c:pt>
                <c:pt idx="5">
                  <c:v>326625771.52020425</c:v>
                </c:pt>
                <c:pt idx="6">
                  <c:v>327864577.39869678</c:v>
                </c:pt>
                <c:pt idx="7">
                  <c:v>308145207.88827181</c:v>
                </c:pt>
                <c:pt idx="8">
                  <c:v>299861268.37683541</c:v>
                </c:pt>
                <c:pt idx="9">
                  <c:v>297927153.98452401</c:v>
                </c:pt>
                <c:pt idx="10">
                  <c:v>291755548.25412452</c:v>
                </c:pt>
                <c:pt idx="11">
                  <c:v>290554812.3889938</c:v>
                </c:pt>
                <c:pt idx="12">
                  <c:v>283021856.20222652</c:v>
                </c:pt>
                <c:pt idx="13">
                  <c:v>274280108.94817412</c:v>
                </c:pt>
                <c:pt idx="14">
                  <c:v>273676881.39563078</c:v>
                </c:pt>
                <c:pt idx="15">
                  <c:v>270983392.67846662</c:v>
                </c:pt>
                <c:pt idx="16">
                  <c:v>265497428.08145326</c:v>
                </c:pt>
                <c:pt idx="17">
                  <c:v>267047012.58143604</c:v>
                </c:pt>
              </c:numCache>
            </c:numRef>
          </c:yVal>
          <c:smooth val="0"/>
        </c:ser>
        <c:ser>
          <c:idx val="6"/>
          <c:order val="6"/>
          <c:tx>
            <c:v>Parallel zur c-Achse</c:v>
          </c:tx>
          <c:marker>
            <c:symbol val="none"/>
          </c:marker>
          <c:xVal>
            <c:numRef>
              <c:f>Verfinsterungen!$L$68:$L$69</c:f>
              <c:numCache>
                <c:formatCode>0.0E+00</c:formatCode>
                <c:ptCount val="2"/>
                <c:pt idx="0">
                  <c:v>29726949.499056906</c:v>
                </c:pt>
                <c:pt idx="1">
                  <c:v>25702394.407636296</c:v>
                </c:pt>
              </c:numCache>
            </c:numRef>
          </c:xVal>
          <c:yVal>
            <c:numRef>
              <c:f>Verfinsterungen!$L$91:$L$92</c:f>
              <c:numCache>
                <c:formatCode>0.0E+00</c:formatCode>
                <c:ptCount val="2"/>
                <c:pt idx="0">
                  <c:v>300000000</c:v>
                </c:pt>
                <c:pt idx="1">
                  <c:v>300000000</c:v>
                </c:pt>
              </c:numCache>
            </c:numRef>
          </c:yVal>
          <c:smooth val="1"/>
        </c:ser>
        <c:ser>
          <c:idx val="7"/>
          <c:order val="7"/>
          <c:tx>
            <c:v>horizontale Achse für c+Verfinsterungen!$N$47</c:v>
          </c:tx>
          <c:spPr>
            <a:ln w="28575">
              <a:noFill/>
            </a:ln>
          </c:spP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8"/>
          <c:order val="8"/>
          <c:tx>
            <c:v>horizontale Achse für c</c:v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Verfinsterungen!$K$91:$K$92</c:f>
              <c:numCache>
                <c:formatCode>General</c:formatCode>
                <c:ptCount val="2"/>
                <c:pt idx="0">
                  <c:v>-70</c:v>
                </c:pt>
                <c:pt idx="1">
                  <c:v>70</c:v>
                </c:pt>
              </c:numCache>
            </c:numRef>
          </c:xVal>
          <c:yVal>
            <c:numRef>
              <c:f>Verfinsterungen!$L$91:$L$92</c:f>
              <c:numCache>
                <c:formatCode>0.0E+00</c:formatCode>
                <c:ptCount val="2"/>
                <c:pt idx="0">
                  <c:v>300000000</c:v>
                </c:pt>
                <c:pt idx="1">
                  <c:v>300000000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8144"/>
        <c:axId val="41660800"/>
      </c:scatterChart>
      <c:valAx>
        <c:axId val="41638144"/>
        <c:scaling>
          <c:orientation val="minMax"/>
          <c:max val="70"/>
          <c:min val="-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minorGridlines>
          <c:spPr>
            <a:ln>
              <a:solidFill>
                <a:schemeClr val="accent1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 b="1" i="1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k</a:t>
                </a:r>
                <a:r>
                  <a:rPr lang="de-DE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0.92433602620914146"/>
              <c:y val="0.8722972915098897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660800"/>
        <c:crosses val="autoZero"/>
        <c:crossBetween val="midCat"/>
        <c:majorUnit val="10"/>
        <c:minorUnit val="2"/>
      </c:valAx>
      <c:valAx>
        <c:axId val="41660800"/>
        <c:scaling>
          <c:orientation val="minMax"/>
          <c:max val="500000000"/>
          <c:min val="1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i="1"/>
                  <a:t>c</a:t>
                </a:r>
                <a:r>
                  <a:rPr lang="de-DE" i="0"/>
                  <a:t>(</a:t>
                </a:r>
                <a:r>
                  <a:rPr lang="de-DE" i="1"/>
                  <a:t>k</a:t>
                </a:r>
                <a:r>
                  <a:rPr lang="de-DE" i="0"/>
                  <a:t>) </a:t>
                </a:r>
                <a:r>
                  <a:rPr lang="de-DE"/>
                  <a:t> (m/s)</a:t>
                </a:r>
              </a:p>
            </c:rich>
          </c:tx>
          <c:layout>
            <c:manualLayout>
              <c:xMode val="edge"/>
              <c:yMode val="edge"/>
              <c:x val="0.52113013563959065"/>
              <c:y val="0.1502590330414309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.0E+00" sourceLinked="0"/>
        <c:majorTickMark val="out"/>
        <c:minorTickMark val="out"/>
        <c:tickLblPos val="nextTo"/>
        <c:spPr>
          <a:solidFill>
            <a:sysClr val="window" lastClr="FFFFFF"/>
          </a:solidFill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638144"/>
        <c:crosses val="autoZero"/>
        <c:crossBetween val="midCat"/>
        <c:majorUnit val="100000000"/>
        <c:minorUnit val="100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94" footer="0.49212598450000494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4</a:t>
            </a:r>
            <a:r>
              <a:rPr lang="de-DE" sz="9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Werte für die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Lichtgeschw. in Abhängigkeit von der 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Anzahl </a:t>
            </a:r>
            <a:r>
              <a:rPr lang="de-DE" sz="900" b="1" i="1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k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der gewerteten  Io-Umläufe</a:t>
            </a:r>
            <a:endParaRPr lang="de-DE" sz="90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753884513611003"/>
          <c:y val="1.2107584490083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7892770888669"/>
          <c:y val="0.14248696012235126"/>
          <c:w val="0.94022691291627192"/>
          <c:h val="0.77720207253888185"/>
        </c:manualLayout>
      </c:layout>
      <c:scatterChart>
        <c:scatterStyle val="smoothMarker"/>
        <c:varyColors val="0"/>
        <c:ser>
          <c:idx val="0"/>
          <c:order val="0"/>
          <c:tx>
            <c:v>März bis Juni 92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Verfinsterungen!$A$10:$A$21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31</c:v>
                </c:pt>
                <c:pt idx="7">
                  <c:v>35</c:v>
                </c:pt>
                <c:pt idx="8">
                  <c:v>44</c:v>
                </c:pt>
                <c:pt idx="9">
                  <c:v>48</c:v>
                </c:pt>
                <c:pt idx="10">
                  <c:v>57</c:v>
                </c:pt>
                <c:pt idx="11">
                  <c:v>70</c:v>
                </c:pt>
              </c:numCache>
            </c:numRef>
          </c:xVal>
          <c:yVal>
            <c:numRef>
              <c:f>Verfinsterungen!$I$10:$I$21</c:f>
              <c:numCache>
                <c:formatCode>0.0E+00</c:formatCode>
                <c:ptCount val="12"/>
                <c:pt idx="0">
                  <c:v>325316006.1168505</c:v>
                </c:pt>
                <c:pt idx="1">
                  <c:v>286135608.54034412</c:v>
                </c:pt>
                <c:pt idx="2">
                  <c:v>286622699.7120353</c:v>
                </c:pt>
                <c:pt idx="3">
                  <c:v>291793763.72450572</c:v>
                </c:pt>
                <c:pt idx="4">
                  <c:v>288027844.90135944</c:v>
                </c:pt>
                <c:pt idx="5">
                  <c:v>295884328.98692769</c:v>
                </c:pt>
                <c:pt idx="6">
                  <c:v>288966826.30717623</c:v>
                </c:pt>
                <c:pt idx="7">
                  <c:v>296215246.27672929</c:v>
                </c:pt>
                <c:pt idx="8">
                  <c:v>296798338.38366503</c:v>
                </c:pt>
                <c:pt idx="9">
                  <c:v>305605064.96321625</c:v>
                </c:pt>
                <c:pt idx="10">
                  <c:v>315798772.50189614</c:v>
                </c:pt>
                <c:pt idx="11">
                  <c:v>329801542.94656914</c:v>
                </c:pt>
              </c:numCache>
            </c:numRef>
          </c:yVal>
          <c:smooth val="0"/>
        </c:ser>
        <c:ser>
          <c:idx val="1"/>
          <c:order val="1"/>
          <c:tx>
            <c:v>März bis Juni 92  Fehlerbalken unten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Verfinsterungen!$A$10:$A$21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31</c:v>
                </c:pt>
                <c:pt idx="7">
                  <c:v>35</c:v>
                </c:pt>
                <c:pt idx="8">
                  <c:v>44</c:v>
                </c:pt>
                <c:pt idx="9">
                  <c:v>48</c:v>
                </c:pt>
                <c:pt idx="10">
                  <c:v>57</c:v>
                </c:pt>
                <c:pt idx="11">
                  <c:v>70</c:v>
                </c:pt>
              </c:numCache>
            </c:numRef>
          </c:xVal>
          <c:yVal>
            <c:numRef>
              <c:f>Verfinsterungen!$J$10:$J$21</c:f>
              <c:numCache>
                <c:formatCode>0.0E+00</c:formatCode>
                <c:ptCount val="12"/>
                <c:pt idx="0">
                  <c:v>206549844.02145338</c:v>
                </c:pt>
                <c:pt idx="1">
                  <c:v>204382577.51502281</c:v>
                </c:pt>
                <c:pt idx="2">
                  <c:v>220478999.76275933</c:v>
                </c:pt>
                <c:pt idx="3">
                  <c:v>227963877.54506698</c:v>
                </c:pt>
                <c:pt idx="4">
                  <c:v>240023203.84338313</c:v>
                </c:pt>
                <c:pt idx="5">
                  <c:v>254275595.19897828</c:v>
                </c:pt>
                <c:pt idx="6">
                  <c:v>255212866.48125646</c:v>
                </c:pt>
                <c:pt idx="7">
                  <c:v>265572289.74067986</c:v>
                </c:pt>
                <c:pt idx="8">
                  <c:v>271113866.78009433</c:v>
                </c:pt>
                <c:pt idx="9">
                  <c:v>280569621.78626287</c:v>
                </c:pt>
                <c:pt idx="10">
                  <c:v>291672754.52052867</c:v>
                </c:pt>
                <c:pt idx="11">
                  <c:v>305595925.10204291</c:v>
                </c:pt>
              </c:numCache>
            </c:numRef>
          </c:yVal>
          <c:smooth val="0"/>
        </c:ser>
        <c:ser>
          <c:idx val="2"/>
          <c:order val="2"/>
          <c:tx>
            <c:v>März bis Juni 92  Fehlerbalken oben</c:v>
          </c:tx>
          <c:spPr>
            <a:ln w="28575">
              <a:noFill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Verfinsterungen!$A$9:$A$21</c:f>
              <c:numCache>
                <c:formatCode>General</c:formatCode>
                <c:ptCount val="13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31</c:v>
                </c:pt>
                <c:pt idx="8">
                  <c:v>35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70</c:v>
                </c:pt>
              </c:numCache>
            </c:numRef>
          </c:xVal>
          <c:yVal>
            <c:numRef>
              <c:f>Verfinsterungen!$K$9:$K$21</c:f>
              <c:numCache>
                <c:formatCode>0.0E+00</c:formatCode>
                <c:ptCount val="13"/>
                <c:pt idx="0">
                  <c:v>537911978.46514201</c:v>
                </c:pt>
                <c:pt idx="1">
                  <c:v>444082168.21224761</c:v>
                </c:pt>
                <c:pt idx="2">
                  <c:v>367888639.56566542</c:v>
                </c:pt>
                <c:pt idx="3">
                  <c:v>352766399.66131127</c:v>
                </c:pt>
                <c:pt idx="4">
                  <c:v>355623649.90394443</c:v>
                </c:pt>
                <c:pt idx="5">
                  <c:v>336032485.95933574</c:v>
                </c:pt>
                <c:pt idx="6">
                  <c:v>337493062.77487707</c:v>
                </c:pt>
                <c:pt idx="7">
                  <c:v>322720786.13309598</c:v>
                </c:pt>
                <c:pt idx="8">
                  <c:v>326858202.81277871</c:v>
                </c:pt>
                <c:pt idx="9">
                  <c:v>322482809.98723572</c:v>
                </c:pt>
                <c:pt idx="10">
                  <c:v>330640508.14016962</c:v>
                </c:pt>
                <c:pt idx="11">
                  <c:v>339924790.48326361</c:v>
                </c:pt>
                <c:pt idx="12">
                  <c:v>354007160.79109538</c:v>
                </c:pt>
              </c:numCache>
            </c:numRef>
          </c:yVal>
          <c:smooth val="0"/>
        </c:ser>
        <c:ser>
          <c:idx val="3"/>
          <c:order val="3"/>
          <c:tx>
            <c:v>Parallele zur c-Achse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Verfinsterungen!$L$69:$L$70</c:f>
              <c:numCache>
                <c:formatCode>0.0E+00</c:formatCode>
                <c:ptCount val="2"/>
                <c:pt idx="0">
                  <c:v>25702394.407636296</c:v>
                </c:pt>
                <c:pt idx="1">
                  <c:v>24693061.407784514</c:v>
                </c:pt>
              </c:numCache>
            </c:numRef>
          </c:xVal>
          <c:yVal>
            <c:numRef>
              <c:f>Verfinsterungen!$L$92:$L$93</c:f>
              <c:numCache>
                <c:formatCode>0.0E+00</c:formatCode>
                <c:ptCount val="2"/>
                <c:pt idx="0">
                  <c:v>300000000</c:v>
                </c:pt>
                <c:pt idx="1">
                  <c:v>300000000</c:v>
                </c:pt>
              </c:numCache>
            </c:numRef>
          </c:yVal>
          <c:smooth val="1"/>
        </c:ser>
        <c:ser>
          <c:idx val="4"/>
          <c:order val="4"/>
          <c:tx>
            <c:v>horizontale Achse für c</c:v>
          </c:tx>
          <c:marker>
            <c:symbol val="none"/>
          </c:marker>
          <c:xVal>
            <c:numRef>
              <c:f>Verfinsterungen!$K$93:$K$94</c:f>
              <c:numCache>
                <c:formatCode>General</c:formatCode>
                <c:ptCount val="2"/>
                <c:pt idx="0">
                  <c:v>10</c:v>
                </c:pt>
                <c:pt idx="1">
                  <c:v>72</c:v>
                </c:pt>
              </c:numCache>
            </c:numRef>
          </c:xVal>
          <c:yVal>
            <c:numRef>
              <c:f>Verfinsterungen!$L$93:$L$94</c:f>
              <c:numCache>
                <c:formatCode>0.0E+00</c:formatCode>
                <c:ptCount val="2"/>
                <c:pt idx="0">
                  <c:v>300000000</c:v>
                </c:pt>
                <c:pt idx="1">
                  <c:v>300000000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01152"/>
        <c:axId val="93203072"/>
      </c:scatterChart>
      <c:valAx>
        <c:axId val="93201152"/>
        <c:scaling>
          <c:orientation val="minMax"/>
          <c:max val="7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minorGridlines>
          <c:spPr>
            <a:ln>
              <a:solidFill>
                <a:sysClr val="windowText" lastClr="000000">
                  <a:tint val="50000"/>
                  <a:shade val="95000"/>
                  <a:satMod val="105000"/>
                </a:sysClr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 b="1" i="1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k</a:t>
                </a:r>
                <a:r>
                  <a:rPr lang="de-DE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0.90624979310018683"/>
              <c:y val="0.8602445686655579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203072"/>
        <c:crosses val="autoZero"/>
        <c:crossBetween val="midCat"/>
        <c:majorUnit val="10"/>
        <c:minorUnit val="2"/>
      </c:valAx>
      <c:valAx>
        <c:axId val="93203072"/>
        <c:scaling>
          <c:orientation val="minMax"/>
          <c:max val="500000000"/>
          <c:min val="1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i="1"/>
                  <a:t>c</a:t>
                </a:r>
                <a:r>
                  <a:rPr lang="de-DE" i="0"/>
                  <a:t>(</a:t>
                </a:r>
                <a:r>
                  <a:rPr lang="de-DE" i="1"/>
                  <a:t>k</a:t>
                </a:r>
                <a:r>
                  <a:rPr lang="de-DE" i="0"/>
                  <a:t>) </a:t>
                </a:r>
                <a:r>
                  <a:rPr lang="de-DE"/>
                  <a:t> (m/s)</a:t>
                </a:r>
              </a:p>
            </c:rich>
          </c:tx>
          <c:layout>
            <c:manualLayout>
              <c:xMode val="edge"/>
              <c:yMode val="edge"/>
              <c:x val="0.13391484747041368"/>
              <c:y val="0.1539577781784911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.0E+00" sourceLinked="0"/>
        <c:majorTickMark val="out"/>
        <c:minorTickMark val="out"/>
        <c:tickLblPos val="nextTo"/>
        <c:spPr>
          <a:solidFill>
            <a:sysClr val="window" lastClr="FFFFFF"/>
          </a:solidFill>
          <a:ln w="2540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201152"/>
        <c:crosses val="autoZero"/>
        <c:crossBetween val="midCat"/>
        <c:majorUnit val="100000000"/>
        <c:minorUnit val="100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94" footer="0.49212598450000494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75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1 </a:t>
            </a:r>
            <a:r>
              <a:rPr lang="de-DE" sz="1175" b="1" i="0" u="none" strike="noStrike">
                <a:solidFill>
                  <a:srgbClr val="000000"/>
                </a:solidFill>
                <a:latin typeface="Arial"/>
                <a:cs typeface="Arial"/>
              </a:rPr>
              <a:t>    Erd- und Jupiterbahn 1992</a:t>
            </a:r>
          </a:p>
        </c:rich>
      </c:tx>
      <c:layout>
        <c:manualLayout>
          <c:xMode val="edge"/>
          <c:yMode val="edge"/>
          <c:x val="0.30210278568647375"/>
          <c:y val="6.04865220249839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06671488092606E-2"/>
          <c:y val="5.1939513477974646E-2"/>
          <c:w val="0.90351006189186578"/>
          <c:h val="0.91321674913852358"/>
        </c:manualLayout>
      </c:layout>
      <c:scatterChart>
        <c:scatterStyle val="smoothMarker"/>
        <c:varyColors val="0"/>
        <c:ser>
          <c:idx val="3"/>
          <c:order val="0"/>
          <c:tx>
            <c:v>Oppositionslinie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Bahnen!$I$47:$I$48</c:f>
              <c:numCache>
                <c:formatCode>0.00</c:formatCode>
                <c:ptCount val="2"/>
                <c:pt idx="0">
                  <c:v>-5.0675368098297158</c:v>
                </c:pt>
                <c:pt idx="1">
                  <c:v>-0.93758581905808813</c:v>
                </c:pt>
              </c:numCache>
            </c:numRef>
          </c:xVal>
          <c:yVal>
            <c:numRef>
              <c:f>Bahnen!$J$47:$J$48</c:f>
              <c:numCache>
                <c:formatCode>0.00</c:formatCode>
                <c:ptCount val="2"/>
                <c:pt idx="0">
                  <c:v>1.865494755023684</c:v>
                </c:pt>
                <c:pt idx="1">
                  <c:v>0.34775398186242817</c:v>
                </c:pt>
              </c:numCache>
            </c:numRef>
          </c:yVal>
          <c:smooth val="0"/>
        </c:ser>
        <c:ser>
          <c:idx val="4"/>
          <c:order val="1"/>
          <c:tx>
            <c:v>Sonne - Jupiter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Bahnen!$D$47:$D$48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-5.0675368098297158</c:v>
                </c:pt>
              </c:numCache>
            </c:numRef>
          </c:xVal>
          <c:yVal>
            <c:numRef>
              <c:f>Bahnen!$E$47:$E$48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1.865494755023684</c:v>
                </c:pt>
              </c:numCache>
            </c:numRef>
          </c:yVal>
          <c:smooth val="0"/>
        </c:ser>
        <c:ser>
          <c:idx val="5"/>
          <c:order val="2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Bahnen!$G$49:$G$50</c:f>
              <c:numCache>
                <c:formatCode>0.00</c:formatCode>
                <c:ptCount val="2"/>
                <c:pt idx="0">
                  <c:v>-5.3034661206579363</c:v>
                </c:pt>
                <c:pt idx="1">
                  <c:v>0.16349814907843704</c:v>
                </c:pt>
              </c:numCache>
            </c:numRef>
          </c:xVal>
          <c:yVal>
            <c:numRef>
              <c:f>Bahnen!$H$49:$H$50</c:f>
              <c:numCache>
                <c:formatCode>0.00</c:formatCode>
                <c:ptCount val="2"/>
                <c:pt idx="0">
                  <c:v>1.0164876325039378</c:v>
                </c:pt>
                <c:pt idx="1">
                  <c:v>-0.98654364082280976</c:v>
                </c:pt>
              </c:numCache>
            </c:numRef>
          </c:yVal>
          <c:smooth val="1"/>
        </c:ser>
        <c:ser>
          <c:idx val="6"/>
          <c:order val="3"/>
          <c:tx>
            <c:v>Jupiterbahn</c:v>
          </c:tx>
          <c:spPr>
            <a:ln w="1905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Bahnen!$E$6:$E$45</c:f>
              <c:numCache>
                <c:formatCode>0.00</c:formatCode>
                <c:ptCount val="40"/>
                <c:pt idx="0">
                  <c:v>-4.9273784684008781</c:v>
                </c:pt>
                <c:pt idx="1">
                  <c:v>-4.9566232828864933</c:v>
                </c:pt>
                <c:pt idx="2">
                  <c:v>-4.9849729066721951</c:v>
                </c:pt>
                <c:pt idx="3">
                  <c:v>-5.0124222196756021</c:v>
                </c:pt>
                <c:pt idx="4">
                  <c:v>-5.0389662644149098</c:v>
                </c:pt>
                <c:pt idx="5">
                  <c:v>-5.0649271489125907</c:v>
                </c:pt>
                <c:pt idx="6">
                  <c:v>-5.0675368098297158</c:v>
                </c:pt>
                <c:pt idx="7">
                  <c:v>-5.0893195375194908</c:v>
                </c:pt>
                <c:pt idx="8">
                  <c:v>-5.1131196718343972</c:v>
                </c:pt>
                <c:pt idx="9">
                  <c:v>-5.135996351426896</c:v>
                </c:pt>
                <c:pt idx="10">
                  <c:v>-5.1579454446554189</c:v>
                </c:pt>
                <c:pt idx="11">
                  <c:v>-5.1789629874050798</c:v>
                </c:pt>
                <c:pt idx="12">
                  <c:v>-5.1987903864354097</c:v>
                </c:pt>
                <c:pt idx="13">
                  <c:v>-5.2179458265236551</c:v>
                </c:pt>
                <c:pt idx="14">
                  <c:v>-5.2361588797670739</c:v>
                </c:pt>
                <c:pt idx="15">
                  <c:v>-5.2532080795753551</c:v>
                </c:pt>
                <c:pt idx="16">
                  <c:v>-5.2695390030910829</c:v>
                </c:pt>
                <c:pt idx="17">
                  <c:v>-5.2847246032850759</c:v>
                </c:pt>
                <c:pt idx="18">
                  <c:v>-5.2989803855581243</c:v>
                </c:pt>
                <c:pt idx="19">
                  <c:v>-5.3034661206579363</c:v>
                </c:pt>
                <c:pt idx="20">
                  <c:v>-5.3124729252196241</c:v>
                </c:pt>
                <c:pt idx="21">
                  <c:v>-5.3248493978274647</c:v>
                </c:pt>
                <c:pt idx="22">
                  <c:v>-5.3362889927797799</c:v>
                </c:pt>
                <c:pt idx="23">
                  <c:v>-5.3469215978767437</c:v>
                </c:pt>
                <c:pt idx="24">
                  <c:v>-5.3564691748056559</c:v>
                </c:pt>
                <c:pt idx="25">
                  <c:v>-5.3650743107550296</c:v>
                </c:pt>
                <c:pt idx="26">
                  <c:v>-5.3727354916990215</c:v>
                </c:pt>
                <c:pt idx="27">
                  <c:v>-5.3794513696954267</c:v>
                </c:pt>
                <c:pt idx="28">
                  <c:v>-5.3806650684943671</c:v>
                </c:pt>
                <c:pt idx="29">
                  <c:v>-5.3852207631228382</c:v>
                </c:pt>
                <c:pt idx="30">
                  <c:v>-5.3900426568885509</c:v>
                </c:pt>
                <c:pt idx="31">
                  <c:v>-5.3939162026071568</c:v>
                </c:pt>
                <c:pt idx="32">
                  <c:v>-5.3968407187498153</c:v>
                </c:pt>
                <c:pt idx="33">
                  <c:v>-5.3988156907641658</c:v>
                </c:pt>
                <c:pt idx="34">
                  <c:v>-5.3998407711648611</c:v>
                </c:pt>
                <c:pt idx="35">
                  <c:v>-5.3999209611109027</c:v>
                </c:pt>
                <c:pt idx="36">
                  <c:v>-5.3990583848601092</c:v>
                </c:pt>
                <c:pt idx="37">
                  <c:v>-5.3972458742949829</c:v>
                </c:pt>
                <c:pt idx="38">
                  <c:v>-5.3944837483166816</c:v>
                </c:pt>
                <c:pt idx="39">
                  <c:v>-5.3908274846992148</c:v>
                </c:pt>
              </c:numCache>
            </c:numRef>
          </c:xVal>
          <c:yVal>
            <c:numRef>
              <c:f>Bahnen!$F$6:$F$45</c:f>
              <c:numCache>
                <c:formatCode>0.00</c:formatCode>
                <c:ptCount val="40"/>
                <c:pt idx="0">
                  <c:v>2.2092852756354082</c:v>
                </c:pt>
                <c:pt idx="1">
                  <c:v>2.1428685520926209</c:v>
                </c:pt>
                <c:pt idx="2">
                  <c:v>2.0760648158822419</c:v>
                </c:pt>
                <c:pt idx="3">
                  <c:v>2.0088861320896991</c:v>
                </c:pt>
                <c:pt idx="4">
                  <c:v>1.9413446335178235</c:v>
                </c:pt>
                <c:pt idx="5">
                  <c:v>1.8725685504696972</c:v>
                </c:pt>
                <c:pt idx="6">
                  <c:v>1.865494755023684</c:v>
                </c:pt>
                <c:pt idx="7">
                  <c:v>1.8052220486750095</c:v>
                </c:pt>
                <c:pt idx="8">
                  <c:v>1.7366655468166894</c:v>
                </c:pt>
                <c:pt idx="9">
                  <c:v>1.6677953945642161</c:v>
                </c:pt>
                <c:pt idx="10">
                  <c:v>1.5986240302079833</c:v>
                </c:pt>
                <c:pt idx="11">
                  <c:v>1.5291639464387905</c:v>
                </c:pt>
                <c:pt idx="12">
                  <c:v>1.460335070422802</c:v>
                </c:pt>
                <c:pt idx="13">
                  <c:v>1.3903385743999099</c:v>
                </c:pt>
                <c:pt idx="14">
                  <c:v>1.3200909763483812</c:v>
                </c:pt>
                <c:pt idx="15">
                  <c:v>1.2505218401468305</c:v>
                </c:pt>
                <c:pt idx="16">
                  <c:v>1.1798129914956172</c:v>
                </c:pt>
                <c:pt idx="17">
                  <c:v>1.1098134381207529</c:v>
                </c:pt>
                <c:pt idx="18">
                  <c:v>1.0396186192399006</c:v>
                </c:pt>
                <c:pt idx="19">
                  <c:v>1.0164876325039378</c:v>
                </c:pt>
                <c:pt idx="20">
                  <c:v>0.96831369855458183</c:v>
                </c:pt>
                <c:pt idx="21">
                  <c:v>0.89776327083284524</c:v>
                </c:pt>
                <c:pt idx="22">
                  <c:v>0.82705488665346205</c:v>
                </c:pt>
                <c:pt idx="23">
                  <c:v>0.75526778440445708</c:v>
                </c:pt>
                <c:pt idx="24">
                  <c:v>0.68427916770629604</c:v>
                </c:pt>
                <c:pt idx="25">
                  <c:v>0.61317015589186397</c:v>
                </c:pt>
                <c:pt idx="26">
                  <c:v>0.54195326019656087</c:v>
                </c:pt>
                <c:pt idx="27">
                  <c:v>0.47064101083735427</c:v>
                </c:pt>
                <c:pt idx="28">
                  <c:v>0.45655604331178651</c:v>
                </c:pt>
                <c:pt idx="29">
                  <c:v>0.399245954808161</c:v>
                </c:pt>
                <c:pt idx="30">
                  <c:v>0.32778065367226156</c:v>
                </c:pt>
                <c:pt idx="31">
                  <c:v>0.25625768135218713</c:v>
                </c:pt>
                <c:pt idx="32">
                  <c:v>0.18468962191738583</c:v>
                </c:pt>
                <c:pt idx="33">
                  <c:v>0.113089067370126</c:v>
                </c:pt>
                <c:pt idx="34">
                  <c:v>4.1468615430027028E-2</c:v>
                </c:pt>
                <c:pt idx="35">
                  <c:v>-2.9216669131064538E-2</c:v>
                </c:pt>
                <c:pt idx="36">
                  <c:v>-0.10083926255062614</c:v>
                </c:pt>
                <c:pt idx="37">
                  <c:v>-0.1724441138624162</c:v>
                </c:pt>
                <c:pt idx="38">
                  <c:v>-0.24401862459083304</c:v>
                </c:pt>
                <c:pt idx="39">
                  <c:v>-0.31460932950493048</c:v>
                </c:pt>
              </c:numCache>
            </c:numRef>
          </c:yVal>
          <c:smooth val="1"/>
        </c:ser>
        <c:ser>
          <c:idx val="0"/>
          <c:order val="4"/>
          <c:tx>
            <c:v>Jupiter VE-Zeitraum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Bahnen!$E$12:$E$25</c:f>
              <c:numCache>
                <c:formatCode>0.00</c:formatCode>
                <c:ptCount val="14"/>
                <c:pt idx="0">
                  <c:v>-5.0675368098297158</c:v>
                </c:pt>
                <c:pt idx="1">
                  <c:v>-5.0893195375194908</c:v>
                </c:pt>
                <c:pt idx="2">
                  <c:v>-5.1131196718343972</c:v>
                </c:pt>
                <c:pt idx="3">
                  <c:v>-5.135996351426896</c:v>
                </c:pt>
                <c:pt idx="4">
                  <c:v>-5.1579454446554189</c:v>
                </c:pt>
                <c:pt idx="5">
                  <c:v>-5.1789629874050798</c:v>
                </c:pt>
                <c:pt idx="6">
                  <c:v>-5.1987903864354097</c:v>
                </c:pt>
                <c:pt idx="7">
                  <c:v>-5.2179458265236551</c:v>
                </c:pt>
                <c:pt idx="8">
                  <c:v>-5.2361588797670739</c:v>
                </c:pt>
                <c:pt idx="9">
                  <c:v>-5.2532080795753551</c:v>
                </c:pt>
                <c:pt idx="10">
                  <c:v>-5.2695390030910829</c:v>
                </c:pt>
                <c:pt idx="11">
                  <c:v>-5.2847246032850759</c:v>
                </c:pt>
                <c:pt idx="12">
                  <c:v>-5.2989803855581243</c:v>
                </c:pt>
                <c:pt idx="13">
                  <c:v>-5.3034661206579363</c:v>
                </c:pt>
              </c:numCache>
            </c:numRef>
          </c:xVal>
          <c:yVal>
            <c:numRef>
              <c:f>Bahnen!$F$12:$F$25</c:f>
              <c:numCache>
                <c:formatCode>0.00</c:formatCode>
                <c:ptCount val="14"/>
                <c:pt idx="0">
                  <c:v>1.865494755023684</c:v>
                </c:pt>
                <c:pt idx="1">
                  <c:v>1.8052220486750095</c:v>
                </c:pt>
                <c:pt idx="2">
                  <c:v>1.7366655468166894</c:v>
                </c:pt>
                <c:pt idx="3">
                  <c:v>1.6677953945642161</c:v>
                </c:pt>
                <c:pt idx="4">
                  <c:v>1.5986240302079833</c:v>
                </c:pt>
                <c:pt idx="5">
                  <c:v>1.5291639464387905</c:v>
                </c:pt>
                <c:pt idx="6">
                  <c:v>1.460335070422802</c:v>
                </c:pt>
                <c:pt idx="7">
                  <c:v>1.3903385743999099</c:v>
                </c:pt>
                <c:pt idx="8">
                  <c:v>1.3200909763483812</c:v>
                </c:pt>
                <c:pt idx="9">
                  <c:v>1.2505218401468305</c:v>
                </c:pt>
                <c:pt idx="10">
                  <c:v>1.1798129914956172</c:v>
                </c:pt>
                <c:pt idx="11">
                  <c:v>1.1098134381207529</c:v>
                </c:pt>
                <c:pt idx="12">
                  <c:v>1.0396186192399006</c:v>
                </c:pt>
                <c:pt idx="13">
                  <c:v>1.0164876325039378</c:v>
                </c:pt>
              </c:numCache>
            </c:numRef>
          </c:yVal>
          <c:smooth val="1"/>
        </c:ser>
        <c:ser>
          <c:idx val="7"/>
          <c:order val="5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dash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Bahnen!$I$47:$I$48</c:f>
              <c:numCache>
                <c:formatCode>0.00</c:formatCode>
                <c:ptCount val="2"/>
                <c:pt idx="0">
                  <c:v>-5.0675368098297158</c:v>
                </c:pt>
                <c:pt idx="1">
                  <c:v>-0.93758581905808813</c:v>
                </c:pt>
              </c:numCache>
            </c:numRef>
          </c:xVal>
          <c:yVal>
            <c:numRef>
              <c:f>Bahnen!$J$47:$J$48</c:f>
              <c:numCache>
                <c:formatCode>0.00</c:formatCode>
                <c:ptCount val="2"/>
                <c:pt idx="0">
                  <c:v>1.865494755023684</c:v>
                </c:pt>
                <c:pt idx="1">
                  <c:v>0.34775398186242817</c:v>
                </c:pt>
              </c:numCache>
            </c:numRef>
          </c:yVal>
          <c:smooth val="1"/>
        </c:ser>
        <c:ser>
          <c:idx val="8"/>
          <c:order val="6"/>
          <c:tx>
            <c:v>Konjunktionslinie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Bahnen!$I$49:$I$50</c:f>
              <c:numCache>
                <c:formatCode>0.0</c:formatCode>
                <c:ptCount val="2"/>
                <c:pt idx="0" formatCode="0.00">
                  <c:v>-5.3806650684943671</c:v>
                </c:pt>
                <c:pt idx="1">
                  <c:v>0.99668015310197322</c:v>
                </c:pt>
              </c:numCache>
            </c:numRef>
          </c:xVal>
          <c:yVal>
            <c:numRef>
              <c:f>Bahnen!$J$49:$J$50</c:f>
              <c:numCache>
                <c:formatCode>0.0</c:formatCode>
                <c:ptCount val="2"/>
                <c:pt idx="0" formatCode="0.00">
                  <c:v>0.45655604331178651</c:v>
                </c:pt>
                <c:pt idx="1">
                  <c:v>-8.1416659306478012E-2</c:v>
                </c:pt>
              </c:numCache>
            </c:numRef>
          </c:yVal>
          <c:smooth val="1"/>
        </c:ser>
        <c:ser>
          <c:idx val="2"/>
          <c:order val="7"/>
          <c:tx>
            <c:v>Erdbahn</c:v>
          </c:tx>
          <c:spPr>
            <a:ln w="1905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Bahnen!$I$6:$I$45</c:f>
              <c:numCache>
                <c:formatCode>0.00</c:formatCode>
                <c:ptCount val="40"/>
                <c:pt idx="0">
                  <c:v>-0.3085189800108637</c:v>
                </c:pt>
                <c:pt idx="1">
                  <c:v>-0.47178150268530028</c:v>
                </c:pt>
                <c:pt idx="2">
                  <c:v>-0.62005293266163264</c:v>
                </c:pt>
                <c:pt idx="3">
                  <c:v>-0.74860867109369356</c:v>
                </c:pt>
                <c:pt idx="4">
                  <c:v>-0.85336887860752841</c:v>
                </c:pt>
                <c:pt idx="5">
                  <c:v>-0.93137387636489977</c:v>
                </c:pt>
                <c:pt idx="6">
                  <c:v>-0.93758581905808813</c:v>
                </c:pt>
                <c:pt idx="7">
                  <c:v>-0.98051192696955725</c:v>
                </c:pt>
                <c:pt idx="8">
                  <c:v>-0.99971830303670473</c:v>
                </c:pt>
                <c:pt idx="9">
                  <c:v>-0.98888649874450452</c:v>
                </c:pt>
                <c:pt idx="10">
                  <c:v>-0.94882090604281333</c:v>
                </c:pt>
                <c:pt idx="11">
                  <c:v>-0.88122096297509389</c:v>
                </c:pt>
                <c:pt idx="12">
                  <c:v>-0.78844037433125813</c:v>
                </c:pt>
                <c:pt idx="13">
                  <c:v>-0.67352870937306752</c:v>
                </c:pt>
                <c:pt idx="14">
                  <c:v>-0.5400934409117103</c:v>
                </c:pt>
                <c:pt idx="15">
                  <c:v>-0.39201601443436029</c:v>
                </c:pt>
                <c:pt idx="16">
                  <c:v>-0.23344536385590534</c:v>
                </c:pt>
                <c:pt idx="17">
                  <c:v>-6.8885908434494769E-2</c:v>
                </c:pt>
                <c:pt idx="18">
                  <c:v>9.7409198324401314E-2</c:v>
                </c:pt>
                <c:pt idx="19">
                  <c:v>0.16349814907843704</c:v>
                </c:pt>
                <c:pt idx="20">
                  <c:v>0.26100999319755741</c:v>
                </c:pt>
                <c:pt idx="21">
                  <c:v>0.41739132277312441</c:v>
                </c:pt>
                <c:pt idx="22">
                  <c:v>0.56222772208238203</c:v>
                </c:pt>
                <c:pt idx="23">
                  <c:v>0.69189118985994491</c:v>
                </c:pt>
                <c:pt idx="24">
                  <c:v>0.80260930454189505</c:v>
                </c:pt>
                <c:pt idx="25">
                  <c:v>0.89108574690709241</c:v>
                </c:pt>
                <c:pt idx="26">
                  <c:v>0.95465693792424455</c:v>
                </c:pt>
                <c:pt idx="27">
                  <c:v>0.99121554025154168</c:v>
                </c:pt>
                <c:pt idx="28">
                  <c:v>0.99668015310197322</c:v>
                </c:pt>
                <c:pt idx="29">
                  <c:v>0.99928287924274095</c:v>
                </c:pt>
                <c:pt idx="30">
                  <c:v>0.97811129840036848</c:v>
                </c:pt>
                <c:pt idx="31">
                  <c:v>0.92790133841559197</c:v>
                </c:pt>
                <c:pt idx="32">
                  <c:v>0.84961666308870354</c:v>
                </c:pt>
                <c:pt idx="33">
                  <c:v>0.74512690192525277</c:v>
                </c:pt>
                <c:pt idx="34">
                  <c:v>0.61744782875395354</c:v>
                </c:pt>
                <c:pt idx="35">
                  <c:v>0.4700878620331681</c:v>
                </c:pt>
                <c:pt idx="36">
                  <c:v>0.30752269767256729</c:v>
                </c:pt>
                <c:pt idx="37">
                  <c:v>0.13485093027372308</c:v>
                </c:pt>
                <c:pt idx="38" formatCode="0.0">
                  <c:v>-4.2398787455584293E-2</c:v>
                </c:pt>
                <c:pt idx="39" formatCode="0.0">
                  <c:v>-0.21848388731400303</c:v>
                </c:pt>
              </c:numCache>
            </c:numRef>
          </c:xVal>
          <c:yVal>
            <c:numRef>
              <c:f>Bahnen!$J$6:$J$45</c:f>
              <c:numCache>
                <c:formatCode>0.00</c:formatCode>
                <c:ptCount val="40"/>
                <c:pt idx="0">
                  <c:v>0.95121818683888515</c:v>
                </c:pt>
                <c:pt idx="1">
                  <c:v>0.88171549477368261</c:v>
                </c:pt>
                <c:pt idx="2">
                  <c:v>0.78455997903137331</c:v>
                </c:pt>
                <c:pt idx="3">
                  <c:v>0.66301210966567892</c:v>
                </c:pt>
                <c:pt idx="4">
                  <c:v>0.52130754552771386</c:v>
                </c:pt>
                <c:pt idx="5">
                  <c:v>0.36406414603064163</c:v>
                </c:pt>
                <c:pt idx="6">
                  <c:v>0.34775398186242817</c:v>
                </c:pt>
                <c:pt idx="7">
                  <c:v>0.19645956599373207</c:v>
                </c:pt>
                <c:pt idx="8">
                  <c:v>2.373424895402242E-2</c:v>
                </c:pt>
                <c:pt idx="9">
                  <c:v>-0.14867243389692314</c:v>
                </c:pt>
                <c:pt idx="10">
                  <c:v>-0.31581464224461592</c:v>
                </c:pt>
                <c:pt idx="11">
                  <c:v>-0.47270457414039074</c:v>
                </c:pt>
                <c:pt idx="12">
                  <c:v>-0.61511119004972226</c:v>
                </c:pt>
                <c:pt idx="13">
                  <c:v>-0.73916106340245624</c:v>
                </c:pt>
                <c:pt idx="14">
                  <c:v>-0.84160505885132897</c:v>
                </c:pt>
                <c:pt idx="15">
                  <c:v>-0.91995839276947711</c:v>
                </c:pt>
                <c:pt idx="16">
                  <c:v>-0.97236992039767667</c:v>
                </c:pt>
                <c:pt idx="17">
                  <c:v>-0.99762454441495896</c:v>
                </c:pt>
                <c:pt idx="18">
                  <c:v>-0.99524441625250903</c:v>
                </c:pt>
                <c:pt idx="19">
                  <c:v>-0.98654364082280976</c:v>
                </c:pt>
                <c:pt idx="20">
                  <c:v>-0.96533609869879566</c:v>
                </c:pt>
                <c:pt idx="21">
                  <c:v>-0.90872684766859479</c:v>
                </c:pt>
                <c:pt idx="22">
                  <c:v>-0.82698245962175998</c:v>
                </c:pt>
                <c:pt idx="23">
                  <c:v>-0.72200178766689338</c:v>
                </c:pt>
                <c:pt idx="24">
                  <c:v>-0.59650507480052128</c:v>
                </c:pt>
                <c:pt idx="25">
                  <c:v>-0.45383498285062734</c:v>
                </c:pt>
                <c:pt idx="26">
                  <c:v>-0.29770813034431054</c:v>
                </c:pt>
                <c:pt idx="27">
                  <c:v>-0.13225639025712235</c:v>
                </c:pt>
                <c:pt idx="28">
                  <c:v>-8.1416659306478012E-2</c:v>
                </c:pt>
                <c:pt idx="29">
                  <c:v>3.7864591009775503E-2</c:v>
                </c:pt>
                <c:pt idx="30">
                  <c:v>0.20808240661224919</c:v>
                </c:pt>
                <c:pt idx="31">
                  <c:v>0.37282583892020299</c:v>
                </c:pt>
                <c:pt idx="32">
                  <c:v>0.52740072601582222</c:v>
                </c:pt>
                <c:pt idx="33">
                  <c:v>0.66692270918546082</c:v>
                </c:pt>
                <c:pt idx="34">
                  <c:v>0.78661183487602604</c:v>
                </c:pt>
                <c:pt idx="35">
                  <c:v>0.88261962473598166</c:v>
                </c:pt>
                <c:pt idx="36">
                  <c:v>0.95154074553651502</c:v>
                </c:pt>
                <c:pt idx="37">
                  <c:v>0.99086589738688224</c:v>
                </c:pt>
                <c:pt idx="38" formatCode="0.0">
                  <c:v>0.99910076710124496</c:v>
                </c:pt>
                <c:pt idx="39" formatCode="0.0">
                  <c:v>0.97584055612797838</c:v>
                </c:pt>
              </c:numCache>
            </c:numRef>
          </c:yVal>
          <c:smooth val="1"/>
        </c:ser>
        <c:ser>
          <c:idx val="9"/>
          <c:order val="8"/>
          <c:tx>
            <c:v>Strahl Jupiter-Sonne</c:v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Bahnen!$C$50:$C$51</c:f>
              <c:numCache>
                <c:formatCode>0.00</c:formatCode>
                <c:ptCount val="2"/>
                <c:pt idx="0">
                  <c:v>-5.3034661206579363</c:v>
                </c:pt>
                <c:pt idx="1">
                  <c:v>0</c:v>
                </c:pt>
              </c:numCache>
            </c:numRef>
          </c:xVal>
          <c:yVal>
            <c:numRef>
              <c:f>Bahnen!$D$50:$D$51</c:f>
              <c:numCache>
                <c:formatCode>0.00</c:formatCode>
                <c:ptCount val="2"/>
                <c:pt idx="0">
                  <c:v>1.0164876325039378</c:v>
                </c:pt>
                <c:pt idx="1">
                  <c:v>0</c:v>
                </c:pt>
              </c:numCache>
            </c:numRef>
          </c:yVal>
          <c:smooth val="1"/>
        </c:ser>
        <c:ser>
          <c:idx val="10"/>
          <c:order val="9"/>
          <c:tx>
            <c:v>Planetenpositionen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Bahnen!$O$5:$O$10</c:f>
              <c:numCache>
                <c:formatCode>0.0</c:formatCode>
                <c:ptCount val="6"/>
                <c:pt idx="0" formatCode="0.00">
                  <c:v>-0.3085189800108637</c:v>
                </c:pt>
                <c:pt idx="1">
                  <c:v>-0.21848388731400303</c:v>
                </c:pt>
                <c:pt idx="2" formatCode="0.00">
                  <c:v>0.99668015310197322</c:v>
                </c:pt>
                <c:pt idx="3" formatCode="0.00">
                  <c:v>-0.93758581905808813</c:v>
                </c:pt>
                <c:pt idx="4" formatCode="0.00">
                  <c:v>-4.9273784684008781</c:v>
                </c:pt>
                <c:pt idx="5" formatCode="0.00">
                  <c:v>-5.3908274846992148</c:v>
                </c:pt>
              </c:numCache>
            </c:numRef>
          </c:xVal>
          <c:yVal>
            <c:numRef>
              <c:f>Bahnen!$P$5:$P$10</c:f>
              <c:numCache>
                <c:formatCode>0.0</c:formatCode>
                <c:ptCount val="6"/>
                <c:pt idx="0" formatCode="0.00">
                  <c:v>0.95121818683888515</c:v>
                </c:pt>
                <c:pt idx="1">
                  <c:v>0.97584055612797838</c:v>
                </c:pt>
                <c:pt idx="2" formatCode="0.00">
                  <c:v>-8.1416659306478012E-2</c:v>
                </c:pt>
                <c:pt idx="3" formatCode="0.00">
                  <c:v>0.34775398186242817</c:v>
                </c:pt>
                <c:pt idx="4" formatCode="0.00">
                  <c:v>2.2092852756354082</c:v>
                </c:pt>
                <c:pt idx="5" formatCode="0.00">
                  <c:v>-0.31460932950493048</c:v>
                </c:pt>
              </c:numCache>
            </c:numRef>
          </c:yVal>
          <c:smooth val="0"/>
        </c:ser>
        <c:ser>
          <c:idx val="11"/>
          <c:order val="10"/>
          <c:tx>
            <c:v>Io-Bahn 1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Bahnen!$O$18:$O$28</c:f>
              <c:numCache>
                <c:formatCode>0.00</c:formatCode>
                <c:ptCount val="11"/>
                <c:pt idx="0">
                  <c:v>-4.8675368098297156</c:v>
                </c:pt>
                <c:pt idx="1">
                  <c:v>-4.9057334109547259</c:v>
                </c:pt>
                <c:pt idx="2">
                  <c:v>-5.0057334109547265</c:v>
                </c:pt>
                <c:pt idx="3">
                  <c:v>-5.1293402087047051</c:v>
                </c:pt>
                <c:pt idx="4">
                  <c:v>-5.2293402087047056</c:v>
                </c:pt>
                <c:pt idx="5">
                  <c:v>-5.2675368098297159</c:v>
                </c:pt>
                <c:pt idx="6">
                  <c:v>-5.2293402087047056</c:v>
                </c:pt>
                <c:pt idx="7">
                  <c:v>-5.1293402087047051</c:v>
                </c:pt>
                <c:pt idx="8">
                  <c:v>-5.0057334109547265</c:v>
                </c:pt>
                <c:pt idx="9">
                  <c:v>-4.9057334109547259</c:v>
                </c:pt>
                <c:pt idx="10">
                  <c:v>-4.8675368098297156</c:v>
                </c:pt>
              </c:numCache>
            </c:numRef>
          </c:xVal>
          <c:yVal>
            <c:numRef>
              <c:f>Bahnen!$P$18:$P$28</c:f>
              <c:numCache>
                <c:formatCode>0.00</c:formatCode>
                <c:ptCount val="11"/>
                <c:pt idx="0">
                  <c:v>1.865494755023684</c:v>
                </c:pt>
                <c:pt idx="1">
                  <c:v>1.9830518054821786</c:v>
                </c:pt>
                <c:pt idx="2">
                  <c:v>2.0557060582827149</c:v>
                </c:pt>
                <c:pt idx="3">
                  <c:v>2.0557060582827149</c:v>
                </c:pt>
                <c:pt idx="4">
                  <c:v>1.9830518054821786</c:v>
                </c:pt>
                <c:pt idx="5">
                  <c:v>1.865494755023684</c:v>
                </c:pt>
                <c:pt idx="6">
                  <c:v>1.7479377045651894</c:v>
                </c:pt>
                <c:pt idx="7">
                  <c:v>1.6752834517646533</c:v>
                </c:pt>
                <c:pt idx="8">
                  <c:v>1.6752834517646533</c:v>
                </c:pt>
                <c:pt idx="9">
                  <c:v>1.7479377045651894</c:v>
                </c:pt>
                <c:pt idx="10">
                  <c:v>1.865494755023684</c:v>
                </c:pt>
              </c:numCache>
            </c:numRef>
          </c:yVal>
          <c:smooth val="1"/>
        </c:ser>
        <c:ser>
          <c:idx val="12"/>
          <c:order val="11"/>
          <c:tx>
            <c:v>Io-Bahn 2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xVal>
            <c:numRef>
              <c:f>Bahnen!$Q$18:$Q$28</c:f>
              <c:numCache>
                <c:formatCode>0.00</c:formatCode>
                <c:ptCount val="11"/>
                <c:pt idx="0">
                  <c:v>-5.1034661206579361</c:v>
                </c:pt>
                <c:pt idx="1">
                  <c:v>-5.1416627217829465</c:v>
                </c:pt>
                <c:pt idx="2">
                  <c:v>-5.241662721782947</c:v>
                </c:pt>
                <c:pt idx="3">
                  <c:v>-5.3652695195329256</c:v>
                </c:pt>
                <c:pt idx="4">
                  <c:v>-5.4652695195329262</c:v>
                </c:pt>
                <c:pt idx="5">
                  <c:v>-5.5034661206579365</c:v>
                </c:pt>
                <c:pt idx="6">
                  <c:v>-5.4652695195329262</c:v>
                </c:pt>
                <c:pt idx="7">
                  <c:v>-5.3652695195329256</c:v>
                </c:pt>
                <c:pt idx="8">
                  <c:v>-5.241662721782947</c:v>
                </c:pt>
                <c:pt idx="9">
                  <c:v>-5.1416627217829465</c:v>
                </c:pt>
                <c:pt idx="10">
                  <c:v>-5.1034661206579361</c:v>
                </c:pt>
              </c:numCache>
            </c:numRef>
          </c:xVal>
          <c:yVal>
            <c:numRef>
              <c:f>Bahnen!$R$18:$R$28</c:f>
              <c:numCache>
                <c:formatCode>0.00</c:formatCode>
                <c:ptCount val="11"/>
                <c:pt idx="0">
                  <c:v>1.0164876325039378</c:v>
                </c:pt>
                <c:pt idx="1">
                  <c:v>1.1340446829624324</c:v>
                </c:pt>
                <c:pt idx="2">
                  <c:v>1.2066989357629685</c:v>
                </c:pt>
                <c:pt idx="3">
                  <c:v>1.2066989357629685</c:v>
                </c:pt>
                <c:pt idx="4">
                  <c:v>1.1340446829624324</c:v>
                </c:pt>
                <c:pt idx="5">
                  <c:v>1.0164876325039378</c:v>
                </c:pt>
                <c:pt idx="6">
                  <c:v>0.89893058204544318</c:v>
                </c:pt>
                <c:pt idx="7">
                  <c:v>0.82627632924490713</c:v>
                </c:pt>
                <c:pt idx="8">
                  <c:v>0.82627632924490713</c:v>
                </c:pt>
                <c:pt idx="9">
                  <c:v>0.89893058204544318</c:v>
                </c:pt>
                <c:pt idx="10">
                  <c:v>1.0164876325039378</c:v>
                </c:pt>
              </c:numCache>
            </c:numRef>
          </c:yVal>
          <c:smooth val="1"/>
        </c:ser>
        <c:ser>
          <c:idx val="13"/>
          <c:order val="12"/>
          <c:tx>
            <c:v>Bahnpunkte Erde</c:v>
          </c:tx>
          <c:spPr>
            <a:ln w="349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Bahnen!$I$12:$I$25</c:f>
              <c:numCache>
                <c:formatCode>0.00</c:formatCode>
                <c:ptCount val="14"/>
                <c:pt idx="0">
                  <c:v>-0.93758581905808813</c:v>
                </c:pt>
                <c:pt idx="1">
                  <c:v>-0.98051192696955725</c:v>
                </c:pt>
                <c:pt idx="2">
                  <c:v>-0.99971830303670473</c:v>
                </c:pt>
                <c:pt idx="3">
                  <c:v>-0.98888649874450452</c:v>
                </c:pt>
                <c:pt idx="4">
                  <c:v>-0.94882090604281333</c:v>
                </c:pt>
                <c:pt idx="5">
                  <c:v>-0.88122096297509389</c:v>
                </c:pt>
                <c:pt idx="6">
                  <c:v>-0.78844037433125813</c:v>
                </c:pt>
                <c:pt idx="7">
                  <c:v>-0.67352870937306752</c:v>
                </c:pt>
                <c:pt idx="8">
                  <c:v>-0.5400934409117103</c:v>
                </c:pt>
                <c:pt idx="9">
                  <c:v>-0.39201601443436029</c:v>
                </c:pt>
                <c:pt idx="10">
                  <c:v>-0.23344536385590534</c:v>
                </c:pt>
                <c:pt idx="11">
                  <c:v>-6.8885908434494769E-2</c:v>
                </c:pt>
                <c:pt idx="12">
                  <c:v>9.7409198324401314E-2</c:v>
                </c:pt>
                <c:pt idx="13">
                  <c:v>0.16349814907843704</c:v>
                </c:pt>
              </c:numCache>
            </c:numRef>
          </c:xVal>
          <c:yVal>
            <c:numRef>
              <c:f>Bahnen!$J$12:$J$25</c:f>
              <c:numCache>
                <c:formatCode>0.00</c:formatCode>
                <c:ptCount val="14"/>
                <c:pt idx="0">
                  <c:v>0.34775398186242817</c:v>
                </c:pt>
                <c:pt idx="1">
                  <c:v>0.19645956599373207</c:v>
                </c:pt>
                <c:pt idx="2">
                  <c:v>2.373424895402242E-2</c:v>
                </c:pt>
                <c:pt idx="3">
                  <c:v>-0.14867243389692314</c:v>
                </c:pt>
                <c:pt idx="4">
                  <c:v>-0.31581464224461592</c:v>
                </c:pt>
                <c:pt idx="5">
                  <c:v>-0.47270457414039074</c:v>
                </c:pt>
                <c:pt idx="6">
                  <c:v>-0.61511119004972226</c:v>
                </c:pt>
                <c:pt idx="7">
                  <c:v>-0.73916106340245624</c:v>
                </c:pt>
                <c:pt idx="8">
                  <c:v>-0.84160505885132897</c:v>
                </c:pt>
                <c:pt idx="9">
                  <c:v>-0.91995839276947711</c:v>
                </c:pt>
                <c:pt idx="10">
                  <c:v>-0.97236992039767667</c:v>
                </c:pt>
                <c:pt idx="11">
                  <c:v>-0.99762454441495896</c:v>
                </c:pt>
                <c:pt idx="12">
                  <c:v>-0.99524441625250903</c:v>
                </c:pt>
                <c:pt idx="13">
                  <c:v>-0.98654364082280976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87456"/>
        <c:axId val="41994112"/>
      </c:scatterChart>
      <c:valAx>
        <c:axId val="41987456"/>
        <c:scaling>
          <c:orientation val="minMax"/>
          <c:max val="2"/>
          <c:min val="-6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x (AE)</a:t>
                </a:r>
              </a:p>
            </c:rich>
          </c:tx>
          <c:layout>
            <c:manualLayout>
              <c:xMode val="edge"/>
              <c:yMode val="edge"/>
              <c:x val="0.90304760995784616"/>
              <c:y val="0.5608162884964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4112"/>
        <c:crosses val="autoZero"/>
        <c:crossBetween val="midCat"/>
        <c:majorUnit val="2"/>
      </c:valAx>
      <c:valAx>
        <c:axId val="41994112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y (AE)</a:t>
                </a:r>
              </a:p>
            </c:rich>
          </c:tx>
          <c:layout>
            <c:manualLayout>
              <c:xMode val="edge"/>
              <c:yMode val="edge"/>
              <c:x val="0.74226290182111143"/>
              <c:y val="6.5746219592373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874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33" footer="0.4921259845000053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108</xdr:row>
      <xdr:rowOff>66691</xdr:rowOff>
    </xdr:from>
    <xdr:to>
      <xdr:col>10</xdr:col>
      <xdr:colOff>417172</xdr:colOff>
      <xdr:row>132</xdr:row>
      <xdr:rowOff>57149</xdr:rowOff>
    </xdr:to>
    <xdr:grpSp>
      <xdr:nvGrpSpPr>
        <xdr:cNvPr id="83" name="Gruppieren 82"/>
        <xdr:cNvGrpSpPr/>
      </xdr:nvGrpSpPr>
      <xdr:grpSpPr>
        <a:xfrm>
          <a:off x="247650" y="17964166"/>
          <a:ext cx="6313147" cy="3924283"/>
          <a:chOff x="549299" y="14944741"/>
          <a:chExt cx="5217772" cy="3257531"/>
        </a:xfrm>
        <a:effectLst/>
      </xdr:grpSpPr>
      <xdr:grpSp>
        <xdr:nvGrpSpPr>
          <xdr:cNvPr id="81" name="Gruppieren 80"/>
          <xdr:cNvGrpSpPr/>
        </xdr:nvGrpSpPr>
        <xdr:grpSpPr>
          <a:xfrm>
            <a:off x="549299" y="14944741"/>
            <a:ext cx="5217772" cy="3257531"/>
            <a:chOff x="558824" y="15306691"/>
            <a:chExt cx="5217772" cy="3257531"/>
          </a:xfrm>
        </xdr:grpSpPr>
        <xdr:grpSp>
          <xdr:nvGrpSpPr>
            <xdr:cNvPr id="75" name="Gruppieren 74"/>
            <xdr:cNvGrpSpPr/>
          </xdr:nvGrpSpPr>
          <xdr:grpSpPr>
            <a:xfrm>
              <a:off x="558824" y="15306691"/>
              <a:ext cx="5217772" cy="3257531"/>
              <a:chOff x="333375" y="14782799"/>
              <a:chExt cx="5386071" cy="3257550"/>
            </a:xfrm>
          </xdr:grpSpPr>
          <xdr:graphicFrame macro="">
            <xdr:nvGraphicFramePr>
              <xdr:cNvPr id="5196" name="Chart 76"/>
              <xdr:cNvGraphicFramePr>
                <a:graphicFrameLocks/>
              </xdr:cNvGraphicFramePr>
            </xdr:nvGraphicFramePr>
            <xdr:xfrm>
              <a:off x="333375" y="14782799"/>
              <a:ext cx="5386071" cy="32575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cxnSp macro="">
            <xdr:nvCxnSpPr>
              <xdr:cNvPr id="62" name="Gerade Verbindung 61"/>
              <xdr:cNvCxnSpPr/>
            </xdr:nvCxnSpPr>
            <xdr:spPr bwMode="auto">
              <a:xfrm rot="5400000">
                <a:off x="1752600" y="16868775"/>
                <a:ext cx="1143000" cy="1588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64" name="Gerade Verbindung 63"/>
              <xdr:cNvCxnSpPr/>
            </xdr:nvCxnSpPr>
            <xdr:spPr bwMode="auto">
              <a:xfrm rot="5400000">
                <a:off x="2298346" y="16687887"/>
                <a:ext cx="36195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66" name="Gerade Verbindung 65"/>
              <xdr:cNvCxnSpPr/>
            </xdr:nvCxnSpPr>
            <xdr:spPr bwMode="auto">
              <a:xfrm rot="5400000">
                <a:off x="375049" y="17355071"/>
                <a:ext cx="942975" cy="8482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68" name="Gerade Verbindung 67"/>
              <xdr:cNvCxnSpPr/>
            </xdr:nvCxnSpPr>
            <xdr:spPr bwMode="auto">
              <a:xfrm rot="5400000">
                <a:off x="840679" y="17456124"/>
                <a:ext cx="359586" cy="2393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2" name="Gerade Verbindung 71"/>
              <xdr:cNvCxnSpPr/>
            </xdr:nvCxnSpPr>
            <xdr:spPr bwMode="auto">
              <a:xfrm rot="5400000">
                <a:off x="1247031" y="17311774"/>
                <a:ext cx="2762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4" name="Gerade Verbindung 73"/>
              <xdr:cNvCxnSpPr/>
            </xdr:nvCxnSpPr>
            <xdr:spPr bwMode="auto">
              <a:xfrm rot="5400000">
                <a:off x="1131511" y="17345112"/>
                <a:ext cx="91440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6" name="Gerade Verbindung 75"/>
              <xdr:cNvCxnSpPr/>
            </xdr:nvCxnSpPr>
            <xdr:spPr bwMode="auto">
              <a:xfrm rot="5400000">
                <a:off x="1559369" y="17068887"/>
                <a:ext cx="38100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8" name="Gerade Verbindung 77"/>
              <xdr:cNvCxnSpPr/>
            </xdr:nvCxnSpPr>
            <xdr:spPr bwMode="auto">
              <a:xfrm rot="5400000">
                <a:off x="1971720" y="16868862"/>
                <a:ext cx="28575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0" name="Gerade Verbindung 79"/>
              <xdr:cNvCxnSpPr/>
            </xdr:nvCxnSpPr>
            <xdr:spPr bwMode="auto">
              <a:xfrm rot="16200000" flipH="1">
                <a:off x="2068458" y="16307320"/>
                <a:ext cx="1152525" cy="8482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2" name="Gerade Verbindung 81"/>
              <xdr:cNvCxnSpPr/>
            </xdr:nvCxnSpPr>
            <xdr:spPr bwMode="auto">
              <a:xfrm rot="5400000">
                <a:off x="2624382" y="16492624"/>
                <a:ext cx="37147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4" name="Gerade Verbindung 83"/>
              <xdr:cNvCxnSpPr/>
            </xdr:nvCxnSpPr>
            <xdr:spPr bwMode="auto">
              <a:xfrm rot="5400000">
                <a:off x="2703534" y="16017901"/>
                <a:ext cx="55245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6" name="Gerade Verbindung 85"/>
              <xdr:cNvCxnSpPr/>
            </xdr:nvCxnSpPr>
            <xdr:spPr bwMode="auto">
              <a:xfrm rot="5400000">
                <a:off x="2483699" y="16880005"/>
                <a:ext cx="114300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8" name="Gerade Verbindung 87"/>
              <xdr:cNvCxnSpPr/>
            </xdr:nvCxnSpPr>
            <xdr:spPr bwMode="auto">
              <a:xfrm rot="5400000">
                <a:off x="3041043" y="16111624"/>
                <a:ext cx="3524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90" name="Gerade Verbindung 89"/>
              <xdr:cNvCxnSpPr/>
            </xdr:nvCxnSpPr>
            <xdr:spPr bwMode="auto">
              <a:xfrm rot="5400000">
                <a:off x="2822432" y="16316595"/>
                <a:ext cx="1122754" cy="1505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92" name="Gerade Verbindung 91"/>
              <xdr:cNvCxnSpPr/>
            </xdr:nvCxnSpPr>
            <xdr:spPr bwMode="auto">
              <a:xfrm rot="5400000">
                <a:off x="3443870" y="16016374"/>
                <a:ext cx="2762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96" name="Gerade Verbindung 95"/>
              <xdr:cNvCxnSpPr/>
            </xdr:nvCxnSpPr>
            <xdr:spPr bwMode="auto">
              <a:xfrm rot="5400000">
                <a:off x="3797261" y="15397249"/>
                <a:ext cx="63817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98" name="Gerade Verbindung 97"/>
              <xdr:cNvCxnSpPr/>
            </xdr:nvCxnSpPr>
            <xdr:spPr bwMode="auto">
              <a:xfrm rot="5400000">
                <a:off x="4091769" y="15721102"/>
                <a:ext cx="37147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02" name="Gerade Verbindung 101"/>
              <xdr:cNvCxnSpPr/>
            </xdr:nvCxnSpPr>
            <xdr:spPr bwMode="auto">
              <a:xfrm rot="5400000">
                <a:off x="4512602" y="15454400"/>
                <a:ext cx="2762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04" name="Gerade Verbindung 103"/>
              <xdr:cNvCxnSpPr/>
            </xdr:nvCxnSpPr>
            <xdr:spPr bwMode="auto">
              <a:xfrm rot="5400000">
                <a:off x="4834918" y="15444874"/>
                <a:ext cx="2762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0" name="Gerade Verbindung 69"/>
              <xdr:cNvCxnSpPr/>
            </xdr:nvCxnSpPr>
            <xdr:spPr bwMode="auto">
              <a:xfrm rot="5400000">
                <a:off x="719613" y="17349874"/>
                <a:ext cx="9239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94" name="Gerade Verbindung 93"/>
              <xdr:cNvCxnSpPr/>
            </xdr:nvCxnSpPr>
            <xdr:spPr bwMode="auto">
              <a:xfrm rot="5400000">
                <a:off x="3775168" y="15871881"/>
                <a:ext cx="25717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60" name="Gerade Verbindung 59"/>
              <xdr:cNvCxnSpPr/>
            </xdr:nvCxnSpPr>
            <xdr:spPr bwMode="auto">
              <a:xfrm rot="5400000">
                <a:off x="1334765" y="16873627"/>
                <a:ext cx="1152525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00" name="Gerade Verbindung 99"/>
              <xdr:cNvCxnSpPr/>
            </xdr:nvCxnSpPr>
            <xdr:spPr bwMode="auto">
              <a:xfrm rot="5400000">
                <a:off x="3876689" y="15735387"/>
                <a:ext cx="1123950" cy="1414"/>
              </a:xfrm>
              <a:prstGeom prst="line">
                <a:avLst/>
              </a:prstGeom>
              <a:solidFill>
                <a:srgbClr val="FFFFFF"/>
              </a:solidFill>
              <a:ln w="6350" cap="rnd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</xdr:grpSp>
        <xdr:sp macro="" textlink="">
          <xdr:nvSpPr>
            <xdr:cNvPr id="73" name="Freihandform 72"/>
            <xdr:cNvSpPr/>
          </xdr:nvSpPr>
          <xdr:spPr bwMode="auto">
            <a:xfrm>
              <a:off x="946374" y="15821039"/>
              <a:ext cx="4401456" cy="2228837"/>
            </a:xfrm>
            <a:custGeom>
              <a:avLst/>
              <a:gdLst>
                <a:gd name="connsiteX0" fmla="*/ 4543425 w 4543425"/>
                <a:gd name="connsiteY0" fmla="*/ 0 h 2228850"/>
                <a:gd name="connsiteX1" fmla="*/ 3448050 w 4543425"/>
                <a:gd name="connsiteY1" fmla="*/ 390525 h 2228850"/>
                <a:gd name="connsiteX2" fmla="*/ 2314575 w 4543425"/>
                <a:gd name="connsiteY2" fmla="*/ 1019175 h 2228850"/>
                <a:gd name="connsiteX3" fmla="*/ 1066800 w 4543425"/>
                <a:gd name="connsiteY3" fmla="*/ 1828800 h 2228850"/>
                <a:gd name="connsiteX4" fmla="*/ 0 w 4543425"/>
                <a:gd name="connsiteY4" fmla="*/ 2228850 h 2228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543425" h="2228850">
                  <a:moveTo>
                    <a:pt x="4543425" y="0"/>
                  </a:moveTo>
                  <a:cubicBezTo>
                    <a:pt x="4181475" y="110331"/>
                    <a:pt x="3819525" y="220663"/>
                    <a:pt x="3448050" y="390525"/>
                  </a:cubicBezTo>
                  <a:cubicBezTo>
                    <a:pt x="3076575" y="560387"/>
                    <a:pt x="2711450" y="779463"/>
                    <a:pt x="2314575" y="1019175"/>
                  </a:cubicBezTo>
                  <a:cubicBezTo>
                    <a:pt x="1917700" y="1258887"/>
                    <a:pt x="1452563" y="1627188"/>
                    <a:pt x="1066800" y="1828800"/>
                  </a:cubicBezTo>
                  <a:cubicBezTo>
                    <a:pt x="681038" y="2030413"/>
                    <a:pt x="340519" y="2129631"/>
                    <a:pt x="0" y="2228850"/>
                  </a:cubicBezTo>
                </a:path>
              </a:pathLst>
            </a:custGeom>
            <a:noFill/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0" tIns="0" rIns="0" bIns="0" rtlCol="0" anchor="ctr" upright="1"/>
            <a:lstStyle/>
            <a:p>
              <a:pPr algn="ctr"/>
              <a:endParaRPr lang="de-DE" sz="1100"/>
            </a:p>
          </xdr:txBody>
        </xdr:sp>
      </xdr:grpSp>
      <xdr:sp macro="" textlink="">
        <xdr:nvSpPr>
          <xdr:cNvPr id="106" name="Textfeld 105"/>
          <xdr:cNvSpPr txBox="1"/>
        </xdr:nvSpPr>
        <xdr:spPr>
          <a:xfrm>
            <a:off x="2775868" y="17740897"/>
            <a:ext cx="688373" cy="1809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t"/>
          <a:lstStyle/>
          <a:p>
            <a:r>
              <a:rPr lang="de-DE" sz="1100"/>
              <a:t>   Opposition</a:t>
            </a:r>
          </a:p>
        </xdr:txBody>
      </xdr:sp>
    </xdr:grpSp>
    <xdr:clientData/>
  </xdr:twoCellAnchor>
  <xdr:twoCellAnchor>
    <xdr:from>
      <xdr:col>0</xdr:col>
      <xdr:colOff>133350</xdr:colOff>
      <xdr:row>82</xdr:row>
      <xdr:rowOff>104775</xdr:rowOff>
    </xdr:from>
    <xdr:to>
      <xdr:col>9</xdr:col>
      <xdr:colOff>561975</xdr:colOff>
      <xdr:row>107</xdr:row>
      <xdr:rowOff>47625</xdr:rowOff>
    </xdr:to>
    <xdr:graphicFrame macro="">
      <xdr:nvGraphicFramePr>
        <xdr:cNvPr id="5213" name="Chart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114299</xdr:colOff>
      <xdr:row>22</xdr:row>
      <xdr:rowOff>76198</xdr:rowOff>
    </xdr:from>
    <xdr:to>
      <xdr:col>16</xdr:col>
      <xdr:colOff>333696</xdr:colOff>
      <xdr:row>47</xdr:row>
      <xdr:rowOff>152398</xdr:rowOff>
    </xdr:to>
    <xdr:grpSp>
      <xdr:nvGrpSpPr>
        <xdr:cNvPr id="2" name="Gruppieren 1"/>
        <xdr:cNvGrpSpPr/>
      </xdr:nvGrpSpPr>
      <xdr:grpSpPr>
        <a:xfrm>
          <a:off x="4648199" y="3790948"/>
          <a:ext cx="5334322" cy="4143375"/>
          <a:chOff x="7848599" y="15306673"/>
          <a:chExt cx="5334322" cy="4143375"/>
        </a:xfrm>
      </xdr:grpSpPr>
      <xdr:grpSp>
        <xdr:nvGrpSpPr>
          <xdr:cNvPr id="183" name="Gruppieren 182"/>
          <xdr:cNvGrpSpPr/>
        </xdr:nvGrpSpPr>
        <xdr:grpSpPr>
          <a:xfrm>
            <a:off x="7848599" y="15306673"/>
            <a:ext cx="5334322" cy="4143375"/>
            <a:chOff x="7982953" y="11469150"/>
            <a:chExt cx="5895975" cy="3686175"/>
          </a:xfrm>
        </xdr:grpSpPr>
        <xdr:grpSp>
          <xdr:nvGrpSpPr>
            <xdr:cNvPr id="182" name="Gruppieren 181"/>
            <xdr:cNvGrpSpPr/>
          </xdr:nvGrpSpPr>
          <xdr:grpSpPr>
            <a:xfrm>
              <a:off x="7982953" y="11469150"/>
              <a:ext cx="5895975" cy="3686175"/>
              <a:chOff x="7982953" y="11469150"/>
              <a:chExt cx="5895975" cy="3686175"/>
            </a:xfrm>
          </xdr:grpSpPr>
          <xdr:graphicFrame macro="">
            <xdr:nvGraphicFramePr>
              <xdr:cNvPr id="5376" name="Chart 256"/>
              <xdr:cNvGraphicFramePr>
                <a:graphicFrameLocks/>
              </xdr:cNvGraphicFramePr>
            </xdr:nvGraphicFramePr>
            <xdr:xfrm>
              <a:off x="7982953" y="11469150"/>
              <a:ext cx="5895975" cy="36861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cxnSp macro="">
            <xdr:nvCxnSpPr>
              <xdr:cNvPr id="127" name="Gerade Verbindung 126"/>
              <xdr:cNvCxnSpPr/>
            </xdr:nvCxnSpPr>
            <xdr:spPr bwMode="auto">
              <a:xfrm rot="5400000">
                <a:off x="10618112" y="13262546"/>
                <a:ext cx="1688754" cy="2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29" name="Gerade Verbindung 128"/>
              <xdr:cNvCxnSpPr/>
            </xdr:nvCxnSpPr>
            <xdr:spPr bwMode="auto">
              <a:xfrm rot="5400000">
                <a:off x="10931742" y="13525717"/>
                <a:ext cx="1140367" cy="2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31" name="Gerade Verbindung 130"/>
              <xdr:cNvCxnSpPr/>
            </xdr:nvCxnSpPr>
            <xdr:spPr bwMode="auto">
              <a:xfrm flipH="1">
                <a:off x="11649808" y="13029633"/>
                <a:ext cx="5913" cy="919796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33" name="Gerade Verbindung 132"/>
              <xdr:cNvCxnSpPr/>
            </xdr:nvCxnSpPr>
            <xdr:spPr bwMode="auto">
              <a:xfrm flipH="1">
                <a:off x="11620231" y="13058727"/>
                <a:ext cx="4580" cy="933765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40" name="Gerade Verbindung 139"/>
              <xdr:cNvCxnSpPr/>
            </xdr:nvCxnSpPr>
            <xdr:spPr bwMode="auto">
              <a:xfrm>
                <a:off x="11816977" y="13185363"/>
                <a:ext cx="10292" cy="686553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44" name="Gerade Verbindung 143"/>
              <xdr:cNvCxnSpPr/>
            </xdr:nvCxnSpPr>
            <xdr:spPr bwMode="auto">
              <a:xfrm>
                <a:off x="11968709" y="13175766"/>
                <a:ext cx="5775" cy="592800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46" name="Gerade Verbindung 145"/>
              <xdr:cNvCxnSpPr/>
            </xdr:nvCxnSpPr>
            <xdr:spPr bwMode="auto">
              <a:xfrm>
                <a:off x="12170072" y="13275480"/>
                <a:ext cx="2260" cy="484473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48" name="Gerade Verbindung 147"/>
              <xdr:cNvCxnSpPr/>
            </xdr:nvCxnSpPr>
            <xdr:spPr bwMode="auto">
              <a:xfrm>
                <a:off x="12330077" y="13249928"/>
                <a:ext cx="896" cy="430928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150" name="Gerade Verbindung 149"/>
              <xdr:cNvCxnSpPr/>
            </xdr:nvCxnSpPr>
            <xdr:spPr bwMode="auto">
              <a:xfrm flipH="1">
                <a:off x="12852598" y="13228552"/>
                <a:ext cx="2" cy="350537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</xdr:grpSp>
        <xdr:cxnSp macro="">
          <xdr:nvCxnSpPr>
            <xdr:cNvPr id="152" name="Gerade Verbindung 151"/>
            <xdr:cNvCxnSpPr/>
          </xdr:nvCxnSpPr>
          <xdr:spPr bwMode="auto">
            <a:xfrm flipV="1">
              <a:off x="12684327" y="13278718"/>
              <a:ext cx="1" cy="36066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56" name="Gerade Verbindung 155"/>
            <xdr:cNvCxnSpPr/>
          </xdr:nvCxnSpPr>
          <xdr:spPr bwMode="auto">
            <a:xfrm flipH="1">
              <a:off x="13218047" y="13152546"/>
              <a:ext cx="1" cy="323193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2" name="Gerade Verbindung 161"/>
            <xdr:cNvCxnSpPr/>
          </xdr:nvCxnSpPr>
          <xdr:spPr bwMode="auto">
            <a:xfrm>
              <a:off x="10240678" y="12909512"/>
              <a:ext cx="5773" cy="948349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4" name="Gerade Verbindung 163"/>
            <xdr:cNvCxnSpPr/>
          </xdr:nvCxnSpPr>
          <xdr:spPr bwMode="auto">
            <a:xfrm>
              <a:off x="10270128" y="12724910"/>
              <a:ext cx="18434" cy="113390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6" name="Gerade Verbindung 165"/>
            <xdr:cNvCxnSpPr/>
          </xdr:nvCxnSpPr>
          <xdr:spPr bwMode="auto">
            <a:xfrm>
              <a:off x="10082238" y="13130881"/>
              <a:ext cx="9859" cy="68936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0" name="Gerade Verbindung 169"/>
            <xdr:cNvCxnSpPr/>
          </xdr:nvCxnSpPr>
          <xdr:spPr bwMode="auto">
            <a:xfrm>
              <a:off x="10040987" y="13157652"/>
              <a:ext cx="11673" cy="662589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2" name="Gerade Verbindung 171"/>
            <xdr:cNvCxnSpPr/>
          </xdr:nvCxnSpPr>
          <xdr:spPr bwMode="auto">
            <a:xfrm>
              <a:off x="9875200" y="13239829"/>
              <a:ext cx="0" cy="528737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4" name="Gerade Verbindung 173"/>
            <xdr:cNvCxnSpPr/>
          </xdr:nvCxnSpPr>
          <xdr:spPr bwMode="auto">
            <a:xfrm rot="5400000">
              <a:off x="9652956" y="13518624"/>
              <a:ext cx="523360" cy="1644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6" name="Gerade Verbindung 175"/>
            <xdr:cNvCxnSpPr/>
          </xdr:nvCxnSpPr>
          <xdr:spPr bwMode="auto">
            <a:xfrm flipH="1">
              <a:off x="9717457" y="13386775"/>
              <a:ext cx="2" cy="407629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8" name="Gerade Verbindung 177"/>
            <xdr:cNvCxnSpPr/>
          </xdr:nvCxnSpPr>
          <xdr:spPr bwMode="auto">
            <a:xfrm>
              <a:off x="9559714" y="13441308"/>
              <a:ext cx="0" cy="361728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80" name="Gerade Verbindung 179"/>
            <xdr:cNvCxnSpPr/>
          </xdr:nvCxnSpPr>
          <xdr:spPr bwMode="auto">
            <a:xfrm>
              <a:off x="9520278" y="13455942"/>
              <a:ext cx="9859" cy="338461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cxnSp macro="">
        <xdr:nvCxnSpPr>
          <xdr:cNvPr id="13" name="Gerade Verbindung 12"/>
          <xdr:cNvCxnSpPr/>
        </xdr:nvCxnSpPr>
        <xdr:spPr bwMode="auto">
          <a:xfrm>
            <a:off x="13049250" y="17078325"/>
            <a:ext cx="0" cy="352425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0</xdr:col>
      <xdr:colOff>247650</xdr:colOff>
      <xdr:row>23</xdr:row>
      <xdr:rowOff>19050</xdr:rowOff>
    </xdr:from>
    <xdr:to>
      <xdr:col>6</xdr:col>
      <xdr:colOff>314325</xdr:colOff>
      <xdr:row>46</xdr:row>
      <xdr:rowOff>19050</xdr:rowOff>
    </xdr:to>
    <xdr:graphicFrame macro="">
      <xdr:nvGraphicFramePr>
        <xdr:cNvPr id="114" name="Chart 2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0.41024</cdr:x>
      <cdr:y>0.20736</cdr:y>
    </cdr:from>
    <cdr:to>
      <cdr:x>0.41135</cdr:x>
      <cdr:y>0.66355</cdr:y>
    </cdr:to>
    <cdr:cxnSp macro="">
      <cdr:nvCxnSpPr>
        <cdr:cNvPr id="3" name="Gerade Verbindung 2"/>
        <cdr:cNvCxnSpPr/>
      </cdr:nvCxnSpPr>
      <cdr:spPr bwMode="auto">
        <a:xfrm xmlns:a="http://schemas.openxmlformats.org/drawingml/2006/main">
          <a:off x="2336826" y="845355"/>
          <a:ext cx="6325" cy="18597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0.23577</cdr:x>
      <cdr:y>0.55215</cdr:y>
    </cdr:from>
    <cdr:to>
      <cdr:x>0.23577</cdr:x>
      <cdr:y>0.63551</cdr:y>
    </cdr:to>
    <cdr:cxnSp macro="">
      <cdr:nvCxnSpPr>
        <cdr:cNvPr id="4" name="Gerade Verbindung 3"/>
        <cdr:cNvCxnSpPr/>
      </cdr:nvCxnSpPr>
      <cdr:spPr bwMode="auto">
        <a:xfrm xmlns:a="http://schemas.openxmlformats.org/drawingml/2006/main">
          <a:off x="1343026" y="2250944"/>
          <a:ext cx="0" cy="3398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0.24246</cdr:x>
      <cdr:y>0.54844</cdr:y>
    </cdr:from>
    <cdr:to>
      <cdr:x>0.24246</cdr:x>
      <cdr:y>0.63551</cdr:y>
    </cdr:to>
    <cdr:cxnSp macro="">
      <cdr:nvCxnSpPr>
        <cdr:cNvPr id="6" name="Gerade Verbindung 5"/>
        <cdr:cNvCxnSpPr/>
      </cdr:nvCxnSpPr>
      <cdr:spPr bwMode="auto">
        <a:xfrm xmlns:a="http://schemas.openxmlformats.org/drawingml/2006/main">
          <a:off x="1381126" y="2235822"/>
          <a:ext cx="0" cy="35497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0.20902</cdr:x>
      <cdr:y>0.56809</cdr:y>
    </cdr:from>
    <cdr:to>
      <cdr:x>0.20902</cdr:x>
      <cdr:y>0.64019</cdr:y>
    </cdr:to>
    <cdr:cxnSp macro="">
      <cdr:nvCxnSpPr>
        <cdr:cNvPr id="8" name="Gerade Verbindung 7"/>
        <cdr:cNvCxnSpPr/>
      </cdr:nvCxnSpPr>
      <cdr:spPr bwMode="auto">
        <a:xfrm xmlns:a="http://schemas.openxmlformats.org/drawingml/2006/main">
          <a:off x="1190626" y="2315950"/>
          <a:ext cx="0" cy="2939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0.18394</cdr:x>
      <cdr:y>0.58194</cdr:y>
    </cdr:from>
    <cdr:to>
      <cdr:x>0.18394</cdr:x>
      <cdr:y>0.64486</cdr:y>
    </cdr:to>
    <cdr:cxnSp macro="">
      <cdr:nvCxnSpPr>
        <cdr:cNvPr id="10" name="Gerade Verbindung 9"/>
        <cdr:cNvCxnSpPr/>
      </cdr:nvCxnSpPr>
      <cdr:spPr bwMode="auto">
        <a:xfrm xmlns:a="http://schemas.openxmlformats.org/drawingml/2006/main">
          <a:off x="1047751" y="2372412"/>
          <a:ext cx="0" cy="2564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0.17558</cdr:x>
      <cdr:y>0.58411</cdr:y>
    </cdr:from>
    <cdr:to>
      <cdr:x>0.17558</cdr:x>
      <cdr:y>0.64953</cdr:y>
    </cdr:to>
    <cdr:cxnSp macro="">
      <cdr:nvCxnSpPr>
        <cdr:cNvPr id="5" name="Gerade Verbindung 4"/>
        <cdr:cNvCxnSpPr/>
      </cdr:nvCxnSpPr>
      <cdr:spPr bwMode="auto">
        <a:xfrm xmlns:a="http://schemas.openxmlformats.org/drawingml/2006/main">
          <a:off x="1000126" y="2381250"/>
          <a:ext cx="0" cy="2667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0.06008</cdr:x>
      <cdr:y>0.59113</cdr:y>
    </cdr:from>
    <cdr:to>
      <cdr:x>0.06008</cdr:x>
      <cdr:y>0.64721</cdr:y>
    </cdr:to>
    <cdr:cxnSp macro="">
      <cdr:nvCxnSpPr>
        <cdr:cNvPr id="22" name="Gerade Verbindung 21"/>
        <cdr:cNvCxnSpPr/>
      </cdr:nvCxnSpPr>
      <cdr:spPr bwMode="auto">
        <a:xfrm xmlns:a="http://schemas.openxmlformats.org/drawingml/2006/main" flipH="1">
          <a:off x="320510" y="2415482"/>
          <a:ext cx="0" cy="2291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0.14868</cdr:x>
      <cdr:y>0.58761</cdr:y>
    </cdr:from>
    <cdr:to>
      <cdr:x>0.14896</cdr:x>
      <cdr:y>0.64588</cdr:y>
    </cdr:to>
    <cdr:sp macro="" textlink="">
      <cdr:nvSpPr>
        <cdr:cNvPr id="15" name="Gerade Verbindung 14"/>
        <cdr:cNvSpPr/>
      </cdr:nvSpPr>
      <cdr:spPr bwMode="auto">
        <a:xfrm xmlns:a="http://schemas.openxmlformats.org/drawingml/2006/main" rot="5400000">
          <a:off x="846932" y="2401093"/>
          <a:ext cx="1589" cy="2381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0.12193</cdr:x>
      <cdr:y>0.59693</cdr:y>
    </cdr:from>
    <cdr:to>
      <cdr:x>0.12221</cdr:x>
      <cdr:y>0.65521</cdr:y>
    </cdr:to>
    <cdr:sp macro="" textlink="">
      <cdr:nvSpPr>
        <cdr:cNvPr id="17" name="Gerade Verbindung 16"/>
        <cdr:cNvSpPr/>
      </cdr:nvSpPr>
      <cdr:spPr bwMode="auto">
        <a:xfrm xmlns:a="http://schemas.openxmlformats.org/drawingml/2006/main" rot="5400000">
          <a:off x="694532" y="2439193"/>
          <a:ext cx="1589" cy="2381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0.26126</cdr:x>
      <cdr:y>0.26087</cdr:y>
    </cdr:from>
    <cdr:to>
      <cdr:x>0.26276</cdr:x>
      <cdr:y>0.70992</cdr:y>
    </cdr:to>
    <cdr:cxnSp macro="">
      <cdr:nvCxnSpPr>
        <cdr:cNvPr id="3" name="Gerade Verbindung 2"/>
        <cdr:cNvCxnSpPr/>
      </cdr:nvCxnSpPr>
      <cdr:spPr bwMode="auto">
        <a:xfrm xmlns:a="http://schemas.openxmlformats.org/drawingml/2006/main">
          <a:off x="1104900" y="971550"/>
          <a:ext cx="6338" cy="16723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0.46563</cdr:x>
      <cdr:y>0.48711</cdr:y>
    </cdr:from>
    <cdr:to>
      <cdr:x>0.46563</cdr:x>
      <cdr:y>0.61856</cdr:y>
    </cdr:to>
    <cdr:cxnSp macro="">
      <cdr:nvCxnSpPr>
        <cdr:cNvPr id="4" name="Gerade Verbindung 3"/>
        <cdr:cNvCxnSpPr/>
      </cdr:nvCxnSpPr>
      <cdr:spPr bwMode="auto">
        <a:xfrm xmlns:a="http://schemas.openxmlformats.org/drawingml/2006/main">
          <a:off x="1969215" y="1823411"/>
          <a:ext cx="0" cy="4920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0.65947</cdr:x>
      <cdr:y>0.47671</cdr:y>
    </cdr:from>
    <cdr:to>
      <cdr:x>0.65947</cdr:x>
      <cdr:y>0.57207</cdr:y>
    </cdr:to>
    <cdr:cxnSp macro="">
      <cdr:nvCxnSpPr>
        <cdr:cNvPr id="8" name="Gerade Verbindung 7"/>
        <cdr:cNvCxnSpPr/>
      </cdr:nvCxnSpPr>
      <cdr:spPr bwMode="auto">
        <a:xfrm xmlns:a="http://schemas.openxmlformats.org/drawingml/2006/main" flipH="1">
          <a:off x="3147017" y="1784480"/>
          <a:ext cx="0" cy="3569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0.61548</cdr:x>
      <cdr:y>0.48711</cdr:y>
    </cdr:from>
    <cdr:to>
      <cdr:x>0.61548</cdr:x>
      <cdr:y>0.58505</cdr:y>
    </cdr:to>
    <cdr:cxnSp macro="">
      <cdr:nvCxnSpPr>
        <cdr:cNvPr id="10" name="Gerade Verbindung 9"/>
        <cdr:cNvCxnSpPr/>
      </cdr:nvCxnSpPr>
      <cdr:spPr bwMode="auto">
        <a:xfrm xmlns:a="http://schemas.openxmlformats.org/drawingml/2006/main">
          <a:off x="2602946" y="1823394"/>
          <a:ext cx="0" cy="36662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0.26956</cdr:x>
      <cdr:y>0.39948</cdr:y>
    </cdr:from>
    <cdr:to>
      <cdr:x>0.26956</cdr:x>
      <cdr:y>0.71134</cdr:y>
    </cdr:to>
    <cdr:cxnSp macro="">
      <cdr:nvCxnSpPr>
        <cdr:cNvPr id="25" name="Gerade Verbindung 24"/>
        <cdr:cNvCxnSpPr/>
      </cdr:nvCxnSpPr>
      <cdr:spPr bwMode="auto">
        <a:xfrm xmlns:a="http://schemas.openxmlformats.org/drawingml/2006/main">
          <a:off x="1139982" y="1495383"/>
          <a:ext cx="0" cy="11673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0.32065</cdr:x>
      <cdr:y>0.42276</cdr:y>
    </cdr:from>
    <cdr:to>
      <cdr:x>0.32065</cdr:x>
      <cdr:y>0.6676</cdr:y>
    </cdr:to>
    <cdr:cxnSp macro="">
      <cdr:nvCxnSpPr>
        <cdr:cNvPr id="5" name="Gerade Verbindung 4"/>
        <cdr:cNvCxnSpPr/>
      </cdr:nvCxnSpPr>
      <cdr:spPr bwMode="auto">
        <a:xfrm xmlns:a="http://schemas.openxmlformats.org/drawingml/2006/main">
          <a:off x="1356066" y="1582511"/>
          <a:ext cx="0" cy="9165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0.30841</cdr:x>
      <cdr:y>0.43035</cdr:y>
    </cdr:from>
    <cdr:to>
      <cdr:x>0.30841</cdr:x>
      <cdr:y>0.67939</cdr:y>
    </cdr:to>
    <cdr:cxnSp macro="">
      <cdr:nvCxnSpPr>
        <cdr:cNvPr id="9" name="Gerade Verbindung 8"/>
        <cdr:cNvCxnSpPr/>
      </cdr:nvCxnSpPr>
      <cdr:spPr bwMode="auto">
        <a:xfrm xmlns:a="http://schemas.openxmlformats.org/drawingml/2006/main" flipH="1">
          <a:off x="1304293" y="1610923"/>
          <a:ext cx="0" cy="9322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0.36405</cdr:x>
      <cdr:y>0.46646</cdr:y>
    </cdr:from>
    <cdr:to>
      <cdr:x>0.36405</cdr:x>
      <cdr:y>0.64687</cdr:y>
    </cdr:to>
    <cdr:cxnSp macro="">
      <cdr:nvCxnSpPr>
        <cdr:cNvPr id="12" name="Gerade Verbindung 11"/>
        <cdr:cNvCxnSpPr/>
      </cdr:nvCxnSpPr>
      <cdr:spPr bwMode="auto">
        <a:xfrm xmlns:a="http://schemas.openxmlformats.org/drawingml/2006/main">
          <a:off x="1539590" y="1746111"/>
          <a:ext cx="0" cy="6753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0.40995</cdr:x>
      <cdr:y>0.46128</cdr:y>
    </cdr:from>
    <cdr:to>
      <cdr:x>0.40995</cdr:x>
      <cdr:y>0.61833</cdr:y>
    </cdr:to>
    <cdr:cxnSp macro="">
      <cdr:nvCxnSpPr>
        <cdr:cNvPr id="18" name="Gerade Verbindung 17"/>
        <cdr:cNvCxnSpPr/>
      </cdr:nvCxnSpPr>
      <cdr:spPr bwMode="auto">
        <a:xfrm xmlns:a="http://schemas.openxmlformats.org/drawingml/2006/main">
          <a:off x="1733706" y="1726704"/>
          <a:ext cx="0" cy="5878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0.76248</cdr:x>
      <cdr:y>0.45616</cdr:y>
    </cdr:from>
    <cdr:to>
      <cdr:x>0.76248</cdr:x>
      <cdr:y>0.54894</cdr:y>
    </cdr:to>
    <cdr:cxnSp macro="">
      <cdr:nvCxnSpPr>
        <cdr:cNvPr id="22" name="Gerade Verbindung 21"/>
        <cdr:cNvCxnSpPr/>
      </cdr:nvCxnSpPr>
      <cdr:spPr bwMode="auto">
        <a:xfrm xmlns:a="http://schemas.openxmlformats.org/drawingml/2006/main">
          <a:off x="3638564" y="1707552"/>
          <a:ext cx="0" cy="34730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0.51351</cdr:x>
      <cdr:y>0.48348</cdr:y>
    </cdr:from>
    <cdr:to>
      <cdr:x>0.51392</cdr:x>
      <cdr:y>0.59335</cdr:y>
    </cdr:to>
    <cdr:sp macro="" textlink="">
      <cdr:nvSpPr>
        <cdr:cNvPr id="19" name="Gerade Verbindung 18"/>
        <cdr:cNvSpPr/>
      </cdr:nvSpPr>
      <cdr:spPr bwMode="auto">
        <a:xfrm xmlns:a="http://schemas.openxmlformats.org/drawingml/2006/main" rot="5400000">
          <a:off x="1967964" y="2004347"/>
          <a:ext cx="409196" cy="17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0.90951</cdr:x>
      <cdr:y>0.42769</cdr:y>
    </cdr:from>
    <cdr:to>
      <cdr:x>0.90984</cdr:x>
      <cdr:y>0.51166</cdr:y>
    </cdr:to>
    <cdr:sp macro="" textlink="">
      <cdr:nvSpPr>
        <cdr:cNvPr id="23" name="Gerade Verbindung 22"/>
        <cdr:cNvSpPr/>
      </cdr:nvSpPr>
      <cdr:spPr bwMode="auto">
        <a:xfrm xmlns:a="http://schemas.openxmlformats.org/drawingml/2006/main" rot="5400000">
          <a:off x="3689924" y="1757449"/>
          <a:ext cx="314327" cy="13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64</xdr:row>
      <xdr:rowOff>123825</xdr:rowOff>
    </xdr:from>
    <xdr:to>
      <xdr:col>1</xdr:col>
      <xdr:colOff>338711</xdr:colOff>
      <xdr:row>64</xdr:row>
      <xdr:rowOff>148211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10696575"/>
          <a:ext cx="24386" cy="24386"/>
        </a:xfrm>
        <a:prstGeom prst="rect">
          <a:avLst/>
        </a:prstGeom>
      </xdr:spPr>
    </xdr:pic>
    <xdr:clientData/>
  </xdr:twoCellAnchor>
  <xdr:twoCellAnchor>
    <xdr:from>
      <xdr:col>0</xdr:col>
      <xdr:colOff>104774</xdr:colOff>
      <xdr:row>52</xdr:row>
      <xdr:rowOff>0</xdr:rowOff>
    </xdr:from>
    <xdr:to>
      <xdr:col>14</xdr:col>
      <xdr:colOff>571500</xdr:colOff>
      <xdr:row>81</xdr:row>
      <xdr:rowOff>133350</xdr:rowOff>
    </xdr:to>
    <xdr:grpSp>
      <xdr:nvGrpSpPr>
        <xdr:cNvPr id="3" name="Gruppieren 2"/>
        <xdr:cNvGrpSpPr/>
      </xdr:nvGrpSpPr>
      <xdr:grpSpPr>
        <a:xfrm>
          <a:off x="104774" y="8658225"/>
          <a:ext cx="7839076" cy="4829175"/>
          <a:chOff x="523875" y="8705850"/>
          <a:chExt cx="7858126" cy="4829175"/>
        </a:xfrm>
      </xdr:grpSpPr>
      <xdr:grpSp>
        <xdr:nvGrpSpPr>
          <xdr:cNvPr id="4" name="Gruppieren 65"/>
          <xdr:cNvGrpSpPr/>
        </xdr:nvGrpSpPr>
        <xdr:grpSpPr>
          <a:xfrm>
            <a:off x="523875" y="8705850"/>
            <a:ext cx="7858126" cy="4829175"/>
            <a:chOff x="514350" y="10668000"/>
            <a:chExt cx="7610476" cy="4829175"/>
          </a:xfrm>
        </xdr:grpSpPr>
        <xdr:grpSp>
          <xdr:nvGrpSpPr>
            <xdr:cNvPr id="6" name="Gruppieren 67"/>
            <xdr:cNvGrpSpPr/>
          </xdr:nvGrpSpPr>
          <xdr:grpSpPr>
            <a:xfrm>
              <a:off x="514350" y="10668000"/>
              <a:ext cx="7610476" cy="4829175"/>
              <a:chOff x="419100" y="10677525"/>
              <a:chExt cx="7610476" cy="4829175"/>
            </a:xfrm>
          </xdr:grpSpPr>
          <xdr:grpSp>
            <xdr:nvGrpSpPr>
              <xdr:cNvPr id="10" name="Gruppieren 64"/>
              <xdr:cNvGrpSpPr/>
            </xdr:nvGrpSpPr>
            <xdr:grpSpPr>
              <a:xfrm>
                <a:off x="419100" y="10677525"/>
                <a:ext cx="7610476" cy="4829175"/>
                <a:chOff x="419100" y="10677525"/>
                <a:chExt cx="7610476" cy="4829175"/>
              </a:xfrm>
            </xdr:grpSpPr>
            <xdr:grpSp>
              <xdr:nvGrpSpPr>
                <xdr:cNvPr id="12" name="Gruppieren 63"/>
                <xdr:cNvGrpSpPr/>
              </xdr:nvGrpSpPr>
              <xdr:grpSpPr>
                <a:xfrm>
                  <a:off x="419100" y="10677525"/>
                  <a:ext cx="7610476" cy="4829175"/>
                  <a:chOff x="419100" y="10677525"/>
                  <a:chExt cx="7610476" cy="4829175"/>
                </a:xfrm>
              </xdr:grpSpPr>
              <xdr:graphicFrame macro="">
                <xdr:nvGraphicFramePr>
                  <xdr:cNvPr id="14" name="Chart 46"/>
                  <xdr:cNvGraphicFramePr>
                    <a:graphicFrameLocks/>
                  </xdr:cNvGraphicFramePr>
                </xdr:nvGraphicFramePr>
                <xdr:xfrm>
                  <a:off x="419100" y="10677525"/>
                  <a:ext cx="7610476" cy="4829175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2"/>
                  </a:graphicData>
                </a:graphic>
              </xdr:graphicFrame>
              <xdr:grpSp>
                <xdr:nvGrpSpPr>
                  <xdr:cNvPr id="15" name="Gruppieren 62"/>
                  <xdr:cNvGrpSpPr/>
                </xdr:nvGrpSpPr>
                <xdr:grpSpPr>
                  <a:xfrm>
                    <a:off x="857751" y="11382375"/>
                    <a:ext cx="6380163" cy="3314699"/>
                    <a:chOff x="857751" y="11382375"/>
                    <a:chExt cx="6380163" cy="3314699"/>
                  </a:xfrm>
                </xdr:grpSpPr>
                <xdr:sp macro="" textlink="">
                  <xdr:nvSpPr>
                    <xdr:cNvPr id="16" name="Text Box 63"/>
                    <xdr:cNvSpPr txBox="1">
                      <a:spLocks noChangeArrowheads="1"/>
                    </xdr:cNvSpPr>
                  </xdr:nvSpPr>
                  <xdr:spPr bwMode="auto">
                    <a:xfrm>
                      <a:off x="1024648" y="11382375"/>
                      <a:ext cx="537452" cy="1905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1000" b="1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Io-Bahn</a:t>
                      </a:r>
                    </a:p>
                  </xdr:txBody>
                </xdr:sp>
                <xdr:sp macro="" textlink="">
                  <xdr:nvSpPr>
                    <xdr:cNvPr id="17" name="Text Box 49"/>
                    <xdr:cNvSpPr txBox="1">
                      <a:spLocks noChangeArrowheads="1"/>
                    </xdr:cNvSpPr>
                  </xdr:nvSpPr>
                  <xdr:spPr bwMode="auto">
                    <a:xfrm>
                      <a:off x="5311441" y="13115925"/>
                      <a:ext cx="333793" cy="1524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29.2</a:t>
                      </a: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.</a:t>
                      </a:r>
                    </a:p>
                  </xdr:txBody>
                </xdr:sp>
                <xdr:sp macro="" textlink="">
                  <xdr:nvSpPr>
                    <xdr:cNvPr id="18" name="Text Box 50"/>
                    <xdr:cNvSpPr txBox="1">
                      <a:spLocks noChangeArrowheads="1"/>
                    </xdr:cNvSpPr>
                  </xdr:nvSpPr>
                  <xdr:spPr bwMode="auto">
                    <a:xfrm>
                      <a:off x="1863850" y="11925300"/>
                      <a:ext cx="923493" cy="1524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29.2. Opposition</a:t>
                      </a:r>
                    </a:p>
                  </xdr:txBody>
                </xdr:sp>
                <xdr:sp macro="" textlink="">
                  <xdr:nvSpPr>
                    <xdr:cNvPr id="19" name="Text Box 51"/>
                    <xdr:cNvSpPr txBox="1">
                      <a:spLocks noChangeArrowheads="1"/>
                    </xdr:cNvSpPr>
                  </xdr:nvSpPr>
                  <xdr:spPr bwMode="auto">
                    <a:xfrm>
                      <a:off x="1604739" y="12258675"/>
                      <a:ext cx="823356" cy="20002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1000" b="1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Jupiterbahn</a:t>
                      </a:r>
                      <a:endParaRPr lang="de-DE" sz="10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  <a:p>
                      <a:pPr algn="l" rtl="0">
                        <a:defRPr sz="1000"/>
                      </a:pPr>
                      <a:endParaRPr lang="de-DE" sz="9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20" name="Text Box 52"/>
                    <xdr:cNvSpPr txBox="1">
                      <a:spLocks noChangeArrowheads="1"/>
                    </xdr:cNvSpPr>
                  </xdr:nvSpPr>
                  <xdr:spPr bwMode="auto">
                    <a:xfrm>
                      <a:off x="5699432" y="13649325"/>
                      <a:ext cx="478436" cy="1714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800" b="1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Sonne</a:t>
                      </a:r>
                    </a:p>
                  </xdr:txBody>
                </xdr:sp>
                <xdr:sp macro="" textlink="">
                  <xdr:nvSpPr>
                    <xdr:cNvPr id="21" name="Text Box 53"/>
                    <xdr:cNvSpPr txBox="1">
                      <a:spLocks noChangeArrowheads="1"/>
                    </xdr:cNvSpPr>
                  </xdr:nvSpPr>
                  <xdr:spPr bwMode="auto">
                    <a:xfrm>
                      <a:off x="6622925" y="12725400"/>
                      <a:ext cx="589701" cy="18097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1000" b="1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Erdbahn</a:t>
                      </a:r>
                      <a:endParaRPr lang="de-DE" sz="10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  <a:p>
                      <a:pPr algn="l" rtl="0">
                        <a:defRPr sz="1000"/>
                      </a:pPr>
                      <a:endParaRPr lang="de-DE" sz="9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22" name="Text Box 54"/>
                    <xdr:cNvSpPr txBox="1">
                      <a:spLocks noChangeArrowheads="1"/>
                    </xdr:cNvSpPr>
                  </xdr:nvSpPr>
                  <xdr:spPr bwMode="auto">
                    <a:xfrm>
                      <a:off x="1430003" y="13020675"/>
                      <a:ext cx="990252" cy="16192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17.9. Konjunktion</a:t>
                      </a:r>
                    </a:p>
                  </xdr:txBody>
                </xdr:sp>
                <xdr:sp macro="" textlink="">
                  <xdr:nvSpPr>
                    <xdr:cNvPr id="23" name="Line 56"/>
                    <xdr:cNvSpPr>
                      <a:spLocks noChangeShapeType="1"/>
                    </xdr:cNvSpPr>
                  </xdr:nvSpPr>
                  <xdr:spPr bwMode="auto">
                    <a:xfrm>
                      <a:off x="4914900" y="14268449"/>
                      <a:ext cx="1209675" cy="428625"/>
                    </a:xfrm>
                    <a:prstGeom prst="line">
                      <a:avLst/>
                    </a:prstGeom>
                    <a:noFill/>
                    <a:ln w="12700">
                      <a:solidFill>
                        <a:srgbClr val="C00000"/>
                      </a:solidFill>
                      <a:prstDash val="solid"/>
                      <a:round/>
                      <a:headEnd type="arrow" w="med" len="med"/>
                      <a:tailEnd type="arrow" w="med" len="med"/>
                    </a:ln>
                  </xdr:spPr>
                </xdr:sp>
                <xdr:sp macro="" textlink="">
                  <xdr:nvSpPr>
                    <xdr:cNvPr id="24" name="Text Box 58"/>
                    <xdr:cNvSpPr txBox="1">
                      <a:spLocks noChangeArrowheads="1"/>
                    </xdr:cNvSpPr>
                  </xdr:nvSpPr>
                  <xdr:spPr bwMode="auto">
                    <a:xfrm>
                      <a:off x="4203603" y="13668375"/>
                      <a:ext cx="356046" cy="21907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1000" b="0" i="0" strike="noStrike">
                          <a:solidFill>
                            <a:srgbClr val="000000"/>
                          </a:solidFill>
                          <a:latin typeface="Symbol"/>
                        </a:rPr>
                        <a:t>D</a:t>
                      </a:r>
                      <a:r>
                        <a:rPr lang="de-DE" sz="10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(</a:t>
                      </a:r>
                      <a:r>
                        <a:rPr lang="de-DE" sz="1000" b="0" i="1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k</a:t>
                      </a:r>
                      <a:r>
                        <a:rPr lang="de-DE" sz="10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)</a:t>
                      </a:r>
                    </a:p>
                  </xdr:txBody>
                </xdr:sp>
                <xdr:sp macro="" textlink="">
                  <xdr:nvSpPr>
                    <xdr:cNvPr id="25" name="Text Box 60"/>
                    <xdr:cNvSpPr txBox="1">
                      <a:spLocks noChangeArrowheads="1"/>
                    </xdr:cNvSpPr>
                  </xdr:nvSpPr>
                  <xdr:spPr bwMode="auto">
                    <a:xfrm>
                      <a:off x="6943725" y="13601699"/>
                      <a:ext cx="294189" cy="16192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17.9.</a:t>
                      </a:r>
                    </a:p>
                  </xdr:txBody>
                </xdr:sp>
                <xdr:sp macro="" textlink="">
                  <xdr:nvSpPr>
                    <xdr:cNvPr id="26" name="Text Box 61"/>
                    <xdr:cNvSpPr txBox="1">
                      <a:spLocks noChangeArrowheads="1"/>
                    </xdr:cNvSpPr>
                  </xdr:nvSpPr>
                  <xdr:spPr bwMode="auto">
                    <a:xfrm>
                      <a:off x="1652448" y="12534900"/>
                      <a:ext cx="556321" cy="16192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800" b="0" i="1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k</a:t>
                      </a: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-tes VE</a:t>
                      </a:r>
                    </a:p>
                  </xdr:txBody>
                </xdr:sp>
                <xdr:sp macro="" textlink="">
                  <xdr:nvSpPr>
                    <xdr:cNvPr id="27" name="Text Box 62"/>
                    <xdr:cNvSpPr txBox="1">
                      <a:spLocks noChangeArrowheads="1"/>
                    </xdr:cNvSpPr>
                  </xdr:nvSpPr>
                  <xdr:spPr bwMode="auto">
                    <a:xfrm>
                      <a:off x="5327372" y="12563475"/>
                      <a:ext cx="378103" cy="1714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9.1.92</a:t>
                      </a:r>
                    </a:p>
                  </xdr:txBody>
                </xdr:sp>
                <xdr:sp macro="" textlink="">
                  <xdr:nvSpPr>
                    <xdr:cNvPr id="28" name="Rectangle 64" descr="Diagonal hell nach unten"/>
                    <xdr:cNvSpPr>
                      <a:spLocks noChangeArrowheads="1"/>
                    </xdr:cNvSpPr>
                  </xdr:nvSpPr>
                  <xdr:spPr bwMode="auto">
                    <a:xfrm rot="1387975">
                      <a:off x="1139198" y="11763375"/>
                      <a:ext cx="367172" cy="76200"/>
                    </a:xfrm>
                    <a:prstGeom prst="rect">
                      <a:avLst/>
                    </a:prstGeom>
                    <a:pattFill prst="ltDnDiag">
                      <a:fgClr>
                        <a:srgbClr val="000000"/>
                      </a:fgClr>
                      <a:bgClr>
                        <a:srgbClr val="FFFFFF"/>
                      </a:bgClr>
                    </a:patt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29" name="Text Box 65"/>
                    <xdr:cNvSpPr txBox="1">
                      <a:spLocks noChangeArrowheads="1"/>
                    </xdr:cNvSpPr>
                  </xdr:nvSpPr>
                  <xdr:spPr bwMode="auto">
                    <a:xfrm>
                      <a:off x="6207961" y="14449425"/>
                      <a:ext cx="589701" cy="1524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1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k</a:t>
                      </a: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-tes VE</a:t>
                      </a:r>
                    </a:p>
                  </xdr:txBody>
                </xdr:sp>
                <xdr:sp macro="" textlink="">
                  <xdr:nvSpPr>
                    <xdr:cNvPr id="30" name="Line 77"/>
                    <xdr:cNvSpPr>
                      <a:spLocks noChangeShapeType="1"/>
                    </xdr:cNvSpPr>
                  </xdr:nvSpPr>
                  <xdr:spPr bwMode="auto">
                    <a:xfrm>
                      <a:off x="1458662" y="11534775"/>
                      <a:ext cx="89011" cy="219075"/>
                    </a:xfrm>
                    <a:prstGeom prst="line">
                      <a:avLst/>
                    </a:prstGeom>
                    <a:noFill/>
                    <a:ln w="12700">
                      <a:solidFill>
                        <a:srgbClr val="000000"/>
                      </a:solidFill>
                      <a:prstDash val="solid"/>
                      <a:round/>
                      <a:headEnd/>
                      <a:tailEnd type="triangle" w="med" len="sm"/>
                    </a:ln>
                  </xdr:spPr>
                </xdr:sp>
                <xdr:sp macro="" textlink="">
                  <xdr:nvSpPr>
                    <xdr:cNvPr id="31" name="Text Box 78"/>
                    <xdr:cNvSpPr txBox="1">
                      <a:spLocks noChangeArrowheads="1"/>
                    </xdr:cNvSpPr>
                  </xdr:nvSpPr>
                  <xdr:spPr bwMode="auto">
                    <a:xfrm>
                      <a:off x="1440947" y="13877925"/>
                      <a:ext cx="433931" cy="1524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3.1.93</a:t>
                      </a:r>
                    </a:p>
                  </xdr:txBody>
                </xdr:sp>
                <xdr:sp macro="" textlink="">
                  <xdr:nvSpPr>
                    <xdr:cNvPr id="32" name="Text Box 79"/>
                    <xdr:cNvSpPr txBox="1">
                      <a:spLocks noChangeArrowheads="1"/>
                    </xdr:cNvSpPr>
                  </xdr:nvSpPr>
                  <xdr:spPr bwMode="auto">
                    <a:xfrm>
                      <a:off x="1858047" y="11477625"/>
                      <a:ext cx="400551" cy="16192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9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9.1.92</a:t>
                      </a:r>
                    </a:p>
                  </xdr:txBody>
                </xdr:sp>
                <xdr:sp macro="" textlink="">
                  <xdr:nvSpPr>
                    <xdr:cNvPr id="33" name="Text Box 82"/>
                    <xdr:cNvSpPr txBox="1">
                      <a:spLocks noChangeArrowheads="1"/>
                    </xdr:cNvSpPr>
                  </xdr:nvSpPr>
                  <xdr:spPr bwMode="auto">
                    <a:xfrm>
                      <a:off x="857751" y="11906250"/>
                      <a:ext cx="589701" cy="3048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Jup.-</a:t>
                      </a:r>
                      <a:endParaRPr lang="de-DE" sz="10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  <a:p>
                      <a:pPr algn="l" rtl="0">
                        <a:defRPr sz="1000"/>
                      </a:pPr>
                      <a:r>
                        <a:rPr lang="de-DE" sz="800" b="0" i="0" strike="noStrike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Schatten</a:t>
                      </a:r>
                    </a:p>
                  </xdr:txBody>
                </xdr:sp>
                <xdr:sp macro="" textlink="">
                  <xdr:nvSpPr>
                    <xdr:cNvPr id="34" name="Line 83"/>
                    <xdr:cNvSpPr>
                      <a:spLocks noChangeShapeType="1"/>
                    </xdr:cNvSpPr>
                  </xdr:nvSpPr>
                  <xdr:spPr bwMode="auto">
                    <a:xfrm flipV="1">
                      <a:off x="1005681" y="11811000"/>
                      <a:ext cx="155770" cy="66675"/>
                    </a:xfrm>
                    <a:prstGeom prst="line">
                      <a:avLst/>
                    </a:prstGeom>
                    <a:noFill/>
                    <a:ln w="12700">
                      <a:solidFill>
                        <a:srgbClr val="000000"/>
                      </a:solidFill>
                      <a:prstDash val="solid"/>
                      <a:round/>
                      <a:headEnd/>
                      <a:tailEnd type="triangle" w="sm" len="sm"/>
                    </a:ln>
                  </xdr:spPr>
                </xdr:sp>
                <xdr:sp macro="" textlink="">
                  <xdr:nvSpPr>
                    <xdr:cNvPr id="35" name="Text Box 57"/>
                    <xdr:cNvSpPr txBox="1">
                      <a:spLocks noChangeArrowheads="1"/>
                    </xdr:cNvSpPr>
                  </xdr:nvSpPr>
                  <xdr:spPr bwMode="auto">
                    <a:xfrm>
                      <a:off x="3297725" y="12487275"/>
                      <a:ext cx="302725" cy="25717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12700">
                      <a:solidFill>
                        <a:srgbClr val="FFFFFF"/>
                      </a:solidFill>
                      <a:prstDash val="solid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el-GR" sz="1100" b="0" i="0" strike="noStrike">
                          <a:solidFill>
                            <a:srgbClr val="000000"/>
                          </a:solidFill>
                          <a:latin typeface="Calibri"/>
                          <a:cs typeface="Arial"/>
                        </a:rPr>
                        <a:t>Δ</a:t>
                      </a:r>
                      <a:r>
                        <a:rPr lang="de-DE" sz="1100" b="0" i="0" strike="noStrike">
                          <a:solidFill>
                            <a:srgbClr val="000000"/>
                          </a:solidFill>
                          <a:latin typeface="Calibri"/>
                          <a:cs typeface="Arial"/>
                        </a:rPr>
                        <a:t>(0)</a:t>
                      </a:r>
                      <a:endParaRPr lang="de-DE" sz="11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</xdr:grpSp>
            <xdr:sp macro="" textlink="">
              <xdr:nvSpPr>
                <xdr:cNvPr id="13" name="Text Box 126"/>
                <xdr:cNvSpPr txBox="1">
                  <a:spLocks noChangeArrowheads="1"/>
                </xdr:cNvSpPr>
              </xdr:nvSpPr>
              <xdr:spPr bwMode="auto">
                <a:xfrm>
                  <a:off x="5843992" y="12744450"/>
                  <a:ext cx="411678" cy="180975"/>
                </a:xfrm>
                <a:prstGeom prst="rect">
                  <a:avLst/>
                </a:prstGeom>
                <a:solidFill>
                  <a:srgbClr val="FFFFFF"/>
                </a:solidFill>
                <a:ln w="12700">
                  <a:solidFill>
                    <a:srgbClr val="FFFFFF"/>
                  </a:solidFill>
                  <a:prstDash val="solid"/>
                  <a:miter lim="800000"/>
                  <a:headEnd/>
                  <a:tailEnd/>
                </a:ln>
              </xdr:spPr>
              <xdr:txBody>
                <a:bodyPr vertOverflow="clip" wrap="square" lIns="27432" tIns="22860" rIns="0" bIns="0" anchor="t" upright="1"/>
                <a:lstStyle/>
                <a:p>
                  <a:pPr algn="l" rtl="0">
                    <a:defRPr sz="1000"/>
                  </a:pPr>
                  <a:r>
                    <a:rPr lang="de-DE" sz="900" b="0" i="0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t>3.1.93</a:t>
                  </a:r>
                </a:p>
              </xdr:txBody>
            </xdr:sp>
          </xdr:grpSp>
          <xdr:cxnSp macro="">
            <xdr:nvCxnSpPr>
              <xdr:cNvPr id="11" name="Gerade Verbindung 10"/>
              <xdr:cNvCxnSpPr/>
            </xdr:nvCxnSpPr>
            <xdr:spPr bwMode="auto">
              <a:xfrm rot="16200000" flipH="1" flipV="1">
                <a:off x="4444162" y="13681916"/>
                <a:ext cx="1190625" cy="344394"/>
              </a:xfrm>
              <a:prstGeom prst="line">
                <a:avLst/>
              </a:prstGeom>
              <a:solidFill>
                <a:srgbClr val="FFFFFF"/>
              </a:solidFill>
              <a:ln w="12700" cap="flat" cmpd="sng" algn="ctr">
                <a:solidFill>
                  <a:srgbClr val="C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</xdr:grpSp>
        <xdr:grpSp>
          <xdr:nvGrpSpPr>
            <xdr:cNvPr id="7" name="Gruppieren 32"/>
            <xdr:cNvGrpSpPr/>
          </xdr:nvGrpSpPr>
          <xdr:grpSpPr>
            <a:xfrm>
              <a:off x="7734286" y="13306444"/>
              <a:ext cx="333362" cy="371489"/>
              <a:chOff x="6869659" y="11654559"/>
              <a:chExt cx="321014" cy="306480"/>
            </a:xfrm>
          </xdr:grpSpPr>
          <xdr:sp macro="" textlink="">
            <xdr:nvSpPr>
              <xdr:cNvPr id="8" name="Bogen 7"/>
              <xdr:cNvSpPr/>
            </xdr:nvSpPr>
            <xdr:spPr bwMode="auto">
              <a:xfrm>
                <a:off x="6869659" y="11654559"/>
                <a:ext cx="123825" cy="304800"/>
              </a:xfrm>
              <a:prstGeom prst="arc">
                <a:avLst/>
              </a:prstGeom>
              <a:solidFill>
                <a:srgbClr val="FFFFFF"/>
              </a:solidFill>
              <a:ln w="190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ctr"/>
                <a:endParaRPr lang="de-DE" sz="1100" b="1"/>
              </a:p>
            </xdr:txBody>
          </xdr:sp>
          <xdr:sp macro="" textlink="">
            <xdr:nvSpPr>
              <xdr:cNvPr id="9" name="Bogen 8"/>
              <xdr:cNvSpPr/>
            </xdr:nvSpPr>
            <xdr:spPr bwMode="auto">
              <a:xfrm flipH="1">
                <a:off x="6979717" y="11670285"/>
                <a:ext cx="210956" cy="290754"/>
              </a:xfrm>
              <a:prstGeom prst="arc">
                <a:avLst/>
              </a:prstGeom>
              <a:solidFill>
                <a:srgbClr val="FFFFFF"/>
              </a:solidFill>
              <a:ln w="222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ctr"/>
                <a:endParaRPr lang="de-DE" sz="1100" b="1"/>
              </a:p>
            </xdr:txBody>
          </xdr:sp>
        </xdr:grpSp>
      </xdr:grpSp>
      <xdr:cxnSp macro="">
        <xdr:nvCxnSpPr>
          <xdr:cNvPr id="5" name="Gerade Verbindung mit Pfeil 4"/>
          <xdr:cNvCxnSpPr/>
        </xdr:nvCxnSpPr>
        <xdr:spPr bwMode="auto">
          <a:xfrm rot="16200000" flipH="1">
            <a:off x="1009650" y="10344150"/>
            <a:ext cx="361950" cy="57150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  <a:effectLst/>
        </xdr:spPr>
      </xdr:cxn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0.06852</cdr:x>
      <cdr:y>0.38975</cdr:y>
    </cdr:from>
    <cdr:to>
      <cdr:x>0.11557</cdr:x>
      <cdr:y>0.40544</cdr:y>
    </cdr:to>
    <cdr:sp macro="" textlink="">
      <cdr:nvSpPr>
        <cdr:cNvPr id="87048" name="Rectangle 1032" descr="Diagonal hell nach unten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743510">
          <a:off x="521474" y="1882157"/>
          <a:ext cx="358073" cy="75770"/>
        </a:xfrm>
        <a:prstGeom xmlns:a="http://schemas.openxmlformats.org/drawingml/2006/main" prst="rect">
          <a:avLst/>
        </a:prstGeom>
        <a:pattFill xmlns:a="http://schemas.openxmlformats.org/drawingml/2006/main" prst="ltDnDiag">
          <a:fgClr>
            <a:srgbClr val="000000"/>
          </a:fgClr>
          <a:bgClr>
            <a:srgbClr val="FFFFFF"/>
          </a:bgClr>
        </a:pattFill>
        <a:ln xmlns:a="http://schemas.openxmlformats.org/drawingml/2006/main" w="9525">
          <a:solidFill>
            <a:srgbClr val="FFFFFF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0.74593</cdr:x>
      <cdr:y>0.7791</cdr:y>
    </cdr:from>
    <cdr:to>
      <cdr:x>0.75845</cdr:x>
      <cdr:y>0.84418</cdr:y>
    </cdr:to>
    <cdr:sp macro="" textlink="">
      <cdr:nvSpPr>
        <cdr:cNvPr id="6" name="Gerade Verbindung 5"/>
        <cdr:cNvSpPr/>
      </cdr:nvSpPr>
      <cdr:spPr bwMode="auto">
        <a:xfrm xmlns:a="http://schemas.openxmlformats.org/drawingml/2006/main" rot="5400000">
          <a:off x="5567387" y="3871925"/>
          <a:ext cx="314292" cy="9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C00000"/>
          </a:solidFill>
          <a:prstDash val="sys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0.61576</cdr:x>
      <cdr:y>0.78916</cdr:y>
    </cdr:from>
    <cdr:to>
      <cdr:x>0.70284</cdr:x>
      <cdr:y>0.83785</cdr:y>
    </cdr:to>
    <cdr:sp macro="" textlink="">
      <cdr:nvSpPr>
        <cdr:cNvPr id="7" name="Textfeld 6"/>
        <cdr:cNvSpPr txBox="1"/>
      </cdr:nvSpPr>
      <cdr:spPr>
        <a:xfrm xmlns:a="http://schemas.openxmlformats.org/drawingml/2006/main" rot="1087570">
          <a:off x="4686193" y="3810989"/>
          <a:ext cx="662728" cy="235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0" bIns="0" rtlCol="0"/>
        <a:lstStyle xmlns:a="http://schemas.openxmlformats.org/drawingml/2006/main"/>
        <a:p xmlns:a="http://schemas.openxmlformats.org/drawingml/2006/main">
          <a:r>
            <a:rPr lang="de-DE" sz="1000">
              <a:latin typeface="Symbol" pitchFamily="18" charset="2"/>
            </a:rPr>
            <a:t>D</a:t>
          </a:r>
          <a:r>
            <a:rPr lang="de-DE" sz="1000"/>
            <a:t>(</a:t>
          </a:r>
          <a:r>
            <a:rPr lang="de-DE" sz="1000" i="1"/>
            <a:t>k</a:t>
          </a:r>
          <a:r>
            <a:rPr lang="de-DE" sz="1000"/>
            <a:t>) - </a:t>
          </a:r>
          <a:r>
            <a:rPr lang="de-DE" sz="1000">
              <a:latin typeface="Symbol" pitchFamily="18" charset="2"/>
            </a:rPr>
            <a:t>D</a:t>
          </a:r>
          <a:r>
            <a:rPr lang="de-DE" sz="1000"/>
            <a:t>(0)</a:t>
          </a:r>
        </a:p>
      </cdr:txBody>
    </cdr:sp>
  </cdr:relSizeAnchor>
  <cdr:relSizeAnchor xmlns:cdr="http://schemas.openxmlformats.org/drawingml/2006/chartDrawing">
    <cdr:from>
      <cdr:x>0.1029</cdr:x>
      <cdr:y>0.40941</cdr:y>
    </cdr:from>
    <cdr:to>
      <cdr:x>0.13867</cdr:x>
      <cdr:y>0.46343</cdr:y>
    </cdr:to>
    <cdr:grpSp>
      <cdr:nvGrpSpPr>
        <cdr:cNvPr id="10" name="Gruppieren 9"/>
        <cdr:cNvGrpSpPr/>
      </cdr:nvGrpSpPr>
      <cdr:grpSpPr>
        <a:xfrm xmlns:a="http://schemas.openxmlformats.org/drawingml/2006/main" rot="951725">
          <a:off x="806641" y="1977113"/>
          <a:ext cx="280404" cy="260872"/>
          <a:chOff x="647704" y="2028829"/>
          <a:chExt cx="352425" cy="304796"/>
        </a:xfrm>
      </cdr:grpSpPr>
      <cdr:sp macro="" textlink="">
        <cdr:nvSpPr>
          <cdr:cNvPr id="5" name="Bogen 4"/>
          <cdr:cNvSpPr/>
        </cdr:nvSpPr>
        <cdr:spPr bwMode="auto">
          <a:xfrm xmlns:a="http://schemas.openxmlformats.org/drawingml/2006/main" rot="16200000" flipH="1">
            <a:off x="673898" y="2002635"/>
            <a:ext cx="300037" cy="352425"/>
          </a:xfrm>
          <a:prstGeom xmlns:a="http://schemas.openxmlformats.org/drawingml/2006/main" prst="arc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de-DE"/>
          </a:p>
        </cdr:txBody>
      </cdr:sp>
      <cdr:sp macro="" textlink="">
        <cdr:nvSpPr>
          <cdr:cNvPr id="9" name="Gerade Verbindung mit Pfeil 8"/>
          <cdr:cNvSpPr/>
        </cdr:nvSpPr>
        <cdr:spPr bwMode="auto">
          <a:xfrm xmlns:a="http://schemas.openxmlformats.org/drawingml/2006/main">
            <a:off x="824865" y="2324100"/>
            <a:ext cx="70485" cy="9525"/>
          </a:xfrm>
          <a:prstGeom xmlns:a="http://schemas.openxmlformats.org/drawingml/2006/main" prst="straightConnector1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de-DE"/>
          </a:p>
        </cdr:txBody>
      </cdr:sp>
    </cdr:grpSp>
  </cdr:relSizeAnchor>
  <cdr:relSizeAnchor xmlns:cdr="http://schemas.openxmlformats.org/drawingml/2006/chartDrawing">
    <cdr:from>
      <cdr:x>0</cdr:x>
      <cdr:y>0</cdr:y>
    </cdr:from>
    <cdr:to>
      <cdr:x>0.0032</cdr:x>
      <cdr:y>0.00505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L229"/>
  <sheetViews>
    <sheetView tabSelected="1" zoomScaleNormal="100" workbookViewId="0">
      <selection activeCell="F19" sqref="F19"/>
    </sheetView>
  </sheetViews>
  <sheetFormatPr baseColWidth="10" defaultRowHeight="12.75" x14ac:dyDescent="0.2"/>
  <cols>
    <col min="1" max="1" width="10.5703125" customWidth="1"/>
    <col min="2" max="2" width="12.7109375" customWidth="1"/>
    <col min="3" max="3" width="5.7109375" customWidth="1"/>
    <col min="4" max="4" width="13" customWidth="1"/>
    <col min="5" max="5" width="10.85546875" customWidth="1"/>
    <col min="6" max="6" width="9.5703125" customWidth="1"/>
    <col min="7" max="7" width="5.5703125" customWidth="1"/>
    <col min="8" max="8" width="6" customWidth="1"/>
    <col min="9" max="9" width="8" customWidth="1"/>
    <col min="10" max="10" width="10.140625" customWidth="1"/>
    <col min="11" max="11" width="10.7109375" customWidth="1"/>
    <col min="12" max="12" width="8" customWidth="1"/>
    <col min="13" max="14" width="7.5703125" customWidth="1"/>
    <col min="15" max="15" width="8.140625" customWidth="1"/>
    <col min="16" max="16" width="10.5703125" customWidth="1"/>
    <col min="17" max="17" width="11.7109375" bestFit="1" customWidth="1"/>
    <col min="18" max="18" width="11.140625" customWidth="1"/>
    <col min="19" max="19" width="10.7109375" customWidth="1"/>
    <col min="20" max="20" width="11" customWidth="1"/>
    <col min="21" max="22" width="10.140625" customWidth="1"/>
    <col min="23" max="23" width="9.7109375" customWidth="1"/>
    <col min="24" max="24" width="7.5703125" customWidth="1"/>
    <col min="27" max="27" width="9" customWidth="1"/>
    <col min="28" max="28" width="10.5703125" customWidth="1"/>
    <col min="29" max="29" width="11.7109375" bestFit="1" customWidth="1"/>
    <col min="30" max="30" width="11.140625" customWidth="1"/>
  </cols>
  <sheetData>
    <row r="1" spans="1:37" ht="15.75" thickBot="1" x14ac:dyDescent="0.3">
      <c r="A1" s="437" t="s">
        <v>98</v>
      </c>
      <c r="B1" s="438"/>
      <c r="C1" s="438"/>
      <c r="D1" s="438"/>
      <c r="E1" s="438"/>
      <c r="F1" s="438"/>
      <c r="G1" s="438"/>
      <c r="H1" s="439"/>
      <c r="I1" s="107"/>
      <c r="J1" s="107"/>
      <c r="K1" s="107"/>
      <c r="L1" s="39"/>
      <c r="M1" s="39"/>
      <c r="N1" s="39"/>
      <c r="Q1" s="90"/>
      <c r="T1" s="97"/>
      <c r="U1" s="97"/>
      <c r="V1" s="97"/>
      <c r="W1" s="333"/>
      <c r="X1" s="333"/>
      <c r="Y1" s="333"/>
      <c r="Z1" s="333"/>
    </row>
    <row r="2" spans="1:37" ht="14.25" thickBot="1" x14ac:dyDescent="0.25">
      <c r="A2" s="453" t="s">
        <v>26</v>
      </c>
      <c r="B2" s="454"/>
      <c r="C2" s="455"/>
      <c r="D2" s="270"/>
      <c r="E2" s="43"/>
      <c r="F2" s="154"/>
      <c r="G2" s="155"/>
      <c r="H2" s="141"/>
      <c r="I2" s="43"/>
      <c r="J2" s="317"/>
      <c r="K2" s="318"/>
      <c r="L2" s="318"/>
      <c r="M2" s="440" t="s">
        <v>89</v>
      </c>
      <c r="N2" s="441"/>
      <c r="O2" s="417"/>
      <c r="P2" s="340"/>
      <c r="Q2" s="340"/>
      <c r="R2" s="90"/>
      <c r="S2" s="272"/>
      <c r="T2" s="90"/>
      <c r="U2" s="90"/>
      <c r="V2" s="90"/>
      <c r="W2" s="333"/>
      <c r="X2" s="106"/>
      <c r="Y2" s="106"/>
      <c r="Z2" s="289"/>
      <c r="AA2" s="333"/>
      <c r="AB2" s="333"/>
      <c r="AC2" s="333"/>
      <c r="AD2" s="333"/>
      <c r="AE2" s="333"/>
      <c r="AF2" s="333"/>
      <c r="AG2" s="333"/>
    </row>
    <row r="3" spans="1:37" ht="15" x14ac:dyDescent="0.3">
      <c r="A3" s="209" t="s">
        <v>49</v>
      </c>
      <c r="B3" s="442" t="s">
        <v>5</v>
      </c>
      <c r="C3" s="443"/>
      <c r="D3" s="247" t="s">
        <v>68</v>
      </c>
      <c r="E3" s="247" t="s">
        <v>47</v>
      </c>
      <c r="F3" s="296" t="s">
        <v>66</v>
      </c>
      <c r="G3" s="296" t="s">
        <v>48</v>
      </c>
      <c r="H3" s="297" t="s">
        <v>13</v>
      </c>
      <c r="I3" s="303" t="s">
        <v>78</v>
      </c>
      <c r="J3" s="311" t="s">
        <v>42</v>
      </c>
      <c r="K3" s="236" t="s">
        <v>42</v>
      </c>
      <c r="L3" s="402" t="s">
        <v>87</v>
      </c>
      <c r="M3" s="344"/>
      <c r="N3" s="360"/>
      <c r="O3" s="345" t="s">
        <v>34</v>
      </c>
      <c r="P3" s="109"/>
      <c r="Q3" s="340"/>
      <c r="R3" s="273"/>
      <c r="S3" s="339"/>
      <c r="T3" s="340"/>
      <c r="U3" s="109"/>
      <c r="V3" s="109"/>
      <c r="W3" s="333"/>
      <c r="X3" s="203"/>
      <c r="Y3" s="203"/>
      <c r="Z3" s="177"/>
      <c r="AA3" s="289"/>
      <c r="AB3" s="289"/>
      <c r="AC3" s="289"/>
      <c r="AD3" s="333"/>
      <c r="AE3" s="333"/>
      <c r="AF3" s="333"/>
      <c r="AG3" s="333"/>
      <c r="AH3" s="90"/>
    </row>
    <row r="4" spans="1:37" ht="13.5" thickBot="1" x14ac:dyDescent="0.25">
      <c r="A4" s="210" t="s">
        <v>25</v>
      </c>
      <c r="B4" s="211" t="s">
        <v>69</v>
      </c>
      <c r="C4" s="212" t="s">
        <v>65</v>
      </c>
      <c r="D4" s="207" t="s">
        <v>45</v>
      </c>
      <c r="E4" s="208" t="s">
        <v>46</v>
      </c>
      <c r="F4" s="207" t="s">
        <v>0</v>
      </c>
      <c r="G4" s="207" t="s">
        <v>0</v>
      </c>
      <c r="H4" s="214" t="s">
        <v>21</v>
      </c>
      <c r="I4" s="302" t="s">
        <v>67</v>
      </c>
      <c r="J4" s="320" t="s">
        <v>43</v>
      </c>
      <c r="K4" s="324" t="s">
        <v>44</v>
      </c>
      <c r="L4" s="411" t="s">
        <v>67</v>
      </c>
      <c r="M4" s="452" t="s">
        <v>36</v>
      </c>
      <c r="N4" s="430"/>
      <c r="O4" s="354" t="s">
        <v>35</v>
      </c>
      <c r="P4" s="203"/>
      <c r="Q4" s="340"/>
      <c r="R4" s="276"/>
      <c r="S4" s="205"/>
      <c r="T4" s="277"/>
      <c r="U4" s="109"/>
      <c r="V4" s="109"/>
      <c r="W4" s="333"/>
      <c r="X4" s="203"/>
      <c r="Y4" s="203"/>
      <c r="Z4" s="274"/>
      <c r="AA4" s="340"/>
      <c r="AB4" s="340"/>
      <c r="AC4" s="340"/>
      <c r="AD4" s="333"/>
      <c r="AE4" s="203"/>
      <c r="AF4" s="333"/>
      <c r="AG4" s="203"/>
      <c r="AH4" s="203"/>
    </row>
    <row r="5" spans="1:37" x14ac:dyDescent="0.2">
      <c r="A5" s="326">
        <v>0</v>
      </c>
      <c r="B5" s="304">
        <v>33663.075555555559</v>
      </c>
      <c r="C5" s="305" t="s">
        <v>50</v>
      </c>
      <c r="D5" s="168">
        <f t="shared" ref="D5:D21" si="0">(B5-$B$5)*24*60</f>
        <v>0</v>
      </c>
      <c r="E5" s="248"/>
      <c r="F5" s="306">
        <v>0</v>
      </c>
      <c r="G5" s="307">
        <f>D5-F5</f>
        <v>0</v>
      </c>
      <c r="H5" s="327">
        <v>4.4131999999999998</v>
      </c>
      <c r="I5" s="309"/>
      <c r="J5" s="13"/>
      <c r="K5" s="309"/>
      <c r="L5" s="90"/>
      <c r="M5" s="356"/>
      <c r="N5" s="360"/>
      <c r="O5" s="357"/>
      <c r="P5" s="336"/>
      <c r="Q5" s="340"/>
      <c r="R5" s="90"/>
      <c r="S5" s="90"/>
      <c r="T5" s="90"/>
      <c r="U5" s="90"/>
      <c r="V5" s="249"/>
      <c r="W5" s="333"/>
      <c r="X5" s="333"/>
      <c r="Y5" s="333"/>
      <c r="Z5" s="333"/>
      <c r="AA5" s="275"/>
      <c r="AB5" s="333"/>
      <c r="AC5" s="333"/>
      <c r="AD5" s="333"/>
      <c r="AE5" s="338"/>
      <c r="AF5" s="333"/>
      <c r="AG5" s="203"/>
      <c r="AH5" s="203"/>
    </row>
    <row r="6" spans="1:37" x14ac:dyDescent="0.2">
      <c r="A6" s="260">
        <f t="shared" ref="A6:A21" si="1">ROUND(D6/$D$22,0)</f>
        <v>1</v>
      </c>
      <c r="B6" s="93">
        <v>33664.845347222225</v>
      </c>
      <c r="C6" s="91" t="s">
        <v>51</v>
      </c>
      <c r="D6" s="133">
        <f t="shared" si="0"/>
        <v>2548.499999998603</v>
      </c>
      <c r="E6" s="129">
        <f t="shared" ref="E6:E20" si="2">(D6-D5)/(A6-A5)</f>
        <v>2548.499999998603</v>
      </c>
      <c r="F6" s="129">
        <f t="shared" ref="F6:F21" si="3">$D$22*(A6-$A$5)</f>
        <v>2548.59</v>
      </c>
      <c r="G6" s="39">
        <f>D6-F6</f>
        <v>-9.0000001397129381E-2</v>
      </c>
      <c r="H6" s="26">
        <v>4.4143999999999997</v>
      </c>
      <c r="I6" s="140"/>
      <c r="J6" s="325"/>
      <c r="K6" s="409"/>
      <c r="L6" s="90"/>
      <c r="M6" s="415">
        <f>E6+0.1</f>
        <v>2548.5999999986029</v>
      </c>
      <c r="N6" s="355">
        <f>E6-0.1</f>
        <v>2548.3999999986031</v>
      </c>
      <c r="O6" s="358">
        <f t="shared" ref="O6:O21" si="4">(A5+A6)/2</f>
        <v>0.5</v>
      </c>
      <c r="P6" s="6"/>
      <c r="Q6" s="39"/>
      <c r="R6" s="249"/>
      <c r="S6" s="278"/>
      <c r="T6" s="102"/>
      <c r="U6" s="39"/>
      <c r="V6" s="39"/>
      <c r="W6" s="333"/>
      <c r="X6" s="333"/>
      <c r="Y6" s="252"/>
      <c r="Z6" s="100"/>
      <c r="AA6" s="333"/>
      <c r="AB6" s="333"/>
      <c r="AC6" s="333"/>
      <c r="AD6" s="333"/>
      <c r="AE6" s="333"/>
      <c r="AF6" s="333"/>
      <c r="AG6" s="39"/>
      <c r="AH6" s="90"/>
      <c r="AK6" s="90"/>
    </row>
    <row r="7" spans="1:37" x14ac:dyDescent="0.2">
      <c r="A7" s="260">
        <f t="shared" si="1"/>
        <v>4</v>
      </c>
      <c r="B7" s="93">
        <v>33670.154999999999</v>
      </c>
      <c r="C7" s="91" t="s">
        <v>52</v>
      </c>
      <c r="D7" s="133">
        <f t="shared" si="0"/>
        <v>10194.39999999362</v>
      </c>
      <c r="E7" s="129">
        <f t="shared" si="2"/>
        <v>2548.6333333316725</v>
      </c>
      <c r="F7" s="129">
        <f t="shared" si="3"/>
        <v>10194.36</v>
      </c>
      <c r="G7" s="39">
        <f t="shared" ref="G7:G21" si="5">D7-F7</f>
        <v>3.9999993619858287E-2</v>
      </c>
      <c r="H7" s="26">
        <v>4.42</v>
      </c>
      <c r="I7" s="369"/>
      <c r="J7" s="250"/>
      <c r="K7" s="410"/>
      <c r="L7" s="90"/>
      <c r="M7" s="415">
        <f>E7+0.033</f>
        <v>2548.6663333316724</v>
      </c>
      <c r="N7" s="355">
        <f>E7-0.033</f>
        <v>2548.6003333316726</v>
      </c>
      <c r="O7" s="358">
        <f t="shared" si="4"/>
        <v>2.5</v>
      </c>
      <c r="P7" s="6"/>
      <c r="Q7" s="39"/>
      <c r="R7" s="249"/>
      <c r="S7" s="278"/>
      <c r="T7" s="102"/>
      <c r="U7" s="39"/>
      <c r="V7" s="39"/>
      <c r="W7" s="333"/>
      <c r="X7" s="333"/>
      <c r="Y7" s="252"/>
      <c r="Z7" s="100"/>
      <c r="AA7" s="333"/>
      <c r="AB7" s="333"/>
      <c r="AC7" s="333"/>
      <c r="AD7" s="333"/>
      <c r="AE7" s="333"/>
      <c r="AF7" s="333"/>
      <c r="AG7" s="39"/>
      <c r="AH7" s="90"/>
    </row>
    <row r="8" spans="1:37" x14ac:dyDescent="0.2">
      <c r="A8" s="260">
        <f t="shared" si="1"/>
        <v>5</v>
      </c>
      <c r="B8" s="93">
        <v>33671.924861111111</v>
      </c>
      <c r="C8" s="91" t="s">
        <v>50</v>
      </c>
      <c r="D8" s="133">
        <f t="shared" si="0"/>
        <v>12742.999999994645</v>
      </c>
      <c r="E8" s="129">
        <f t="shared" si="2"/>
        <v>2548.6000000010245</v>
      </c>
      <c r="F8" s="129">
        <f t="shared" si="3"/>
        <v>12742.95</v>
      </c>
      <c r="G8" s="39">
        <f t="shared" si="5"/>
        <v>4.99999946441676E-2</v>
      </c>
      <c r="H8" s="26">
        <v>4.4219999999999997</v>
      </c>
      <c r="I8" s="369"/>
      <c r="J8" s="250"/>
      <c r="K8" s="410"/>
      <c r="L8" s="340"/>
      <c r="M8" s="415">
        <f>E8+0.1</f>
        <v>2548.7000000010244</v>
      </c>
      <c r="N8" s="355">
        <f>E8-0.1</f>
        <v>2548.5000000010245</v>
      </c>
      <c r="O8" s="358">
        <f t="shared" si="4"/>
        <v>4.5</v>
      </c>
      <c r="P8" s="6"/>
      <c r="Q8" s="39"/>
      <c r="R8" s="249"/>
      <c r="S8" s="278"/>
      <c r="T8" s="102"/>
      <c r="U8" s="39"/>
      <c r="V8" s="39"/>
      <c r="W8" s="333"/>
      <c r="X8" s="333"/>
      <c r="Y8" s="333"/>
      <c r="Z8" s="100"/>
      <c r="AA8" s="333"/>
      <c r="AB8" s="333"/>
      <c r="AC8" s="333"/>
      <c r="AD8" s="333"/>
      <c r="AE8" s="333"/>
      <c r="AF8" s="333"/>
      <c r="AG8" s="39"/>
      <c r="AH8" s="90"/>
    </row>
    <row r="9" spans="1:37" x14ac:dyDescent="0.2">
      <c r="A9" s="260">
        <f t="shared" si="1"/>
        <v>9</v>
      </c>
      <c r="B9" s="93">
        <v>33679.004444444443</v>
      </c>
      <c r="C9" s="91" t="s">
        <v>53</v>
      </c>
      <c r="D9" s="133">
        <f t="shared" si="0"/>
        <v>22937.599999993108</v>
      </c>
      <c r="E9" s="129">
        <f t="shared" si="2"/>
        <v>2548.6499999996158</v>
      </c>
      <c r="F9" s="129">
        <f t="shared" si="3"/>
        <v>22937.31</v>
      </c>
      <c r="G9" s="39">
        <f t="shared" si="5"/>
        <v>0.28999999310690328</v>
      </c>
      <c r="H9" s="26">
        <v>4.4509999999999996</v>
      </c>
      <c r="I9" s="140">
        <f>(H9-$H$5)*149597870000/(G9*60)</f>
        <v>324988483.93164361</v>
      </c>
      <c r="J9" s="87">
        <f>I9-L9</f>
        <v>112064989.39814523</v>
      </c>
      <c r="K9" s="142">
        <f>I9+L9</f>
        <v>537911978.46514201</v>
      </c>
      <c r="L9" s="102">
        <f>I9*(0.1+A9*0.01)/G9</f>
        <v>212923494.53349838</v>
      </c>
      <c r="M9" s="415">
        <f>E9+0.025</f>
        <v>2548.6749999996159</v>
      </c>
      <c r="N9" s="355">
        <f>E9-0.025</f>
        <v>2548.6249999996157</v>
      </c>
      <c r="O9" s="358">
        <f t="shared" si="4"/>
        <v>7</v>
      </c>
      <c r="P9" s="6"/>
      <c r="Q9" s="39"/>
      <c r="R9" s="249"/>
      <c r="S9" s="278"/>
      <c r="T9" s="102"/>
      <c r="U9" s="39"/>
      <c r="V9" s="39"/>
      <c r="W9" s="333"/>
      <c r="X9" s="116"/>
      <c r="Y9" s="190"/>
      <c r="Z9" s="100"/>
      <c r="AA9" s="333"/>
      <c r="AB9" s="333"/>
      <c r="AC9" s="333"/>
      <c r="AD9" s="333"/>
      <c r="AE9" s="333"/>
      <c r="AF9" s="333"/>
      <c r="AG9" s="39"/>
      <c r="AH9" s="323"/>
    </row>
    <row r="10" spans="1:37" x14ac:dyDescent="0.2">
      <c r="A10" s="260">
        <f t="shared" si="1"/>
        <v>13</v>
      </c>
      <c r="B10" s="93">
        <v>33686.084097222221</v>
      </c>
      <c r="C10" s="91" t="s">
        <v>54</v>
      </c>
      <c r="D10" s="133">
        <f t="shared" si="0"/>
        <v>33132.299999993993</v>
      </c>
      <c r="E10" s="129">
        <f t="shared" si="2"/>
        <v>2548.6750000002212</v>
      </c>
      <c r="F10" s="129">
        <f t="shared" si="3"/>
        <v>33131.67</v>
      </c>
      <c r="G10" s="39">
        <f t="shared" si="5"/>
        <v>0.62999999399471562</v>
      </c>
      <c r="H10" s="26">
        <f>4.467+0.4*(4.538-4.467)</f>
        <v>4.4954000000000001</v>
      </c>
      <c r="I10" s="140">
        <f t="shared" ref="I10:I21" si="6">(H10-$H$5)*149597870000/(G10*60)</f>
        <v>325316006.1168505</v>
      </c>
      <c r="J10" s="87">
        <f>I10-L10</f>
        <v>206549844.02145338</v>
      </c>
      <c r="K10" s="142">
        <f>I10+L10</f>
        <v>444082168.21224761</v>
      </c>
      <c r="L10" s="102">
        <f>I10*(0.1+A10*0.01)/G10</f>
        <v>118766162.09539713</v>
      </c>
      <c r="M10" s="415">
        <f>E10+0.025</f>
        <v>2548.7000000002213</v>
      </c>
      <c r="N10" s="355">
        <f>E10-0.025</f>
        <v>2548.6500000002211</v>
      </c>
      <c r="O10" s="358">
        <f t="shared" si="4"/>
        <v>11</v>
      </c>
      <c r="P10" s="6"/>
      <c r="Q10" s="39"/>
      <c r="R10" s="249"/>
      <c r="S10" s="192"/>
      <c r="T10" s="102"/>
      <c r="U10" s="100"/>
      <c r="V10" s="100"/>
      <c r="W10" s="39"/>
      <c r="X10" s="116"/>
      <c r="Y10" s="190"/>
      <c r="Z10" s="100"/>
      <c r="AA10" s="333"/>
      <c r="AB10" s="333"/>
      <c r="AC10" s="333"/>
      <c r="AD10" s="333"/>
      <c r="AE10" s="333"/>
      <c r="AF10" s="333"/>
      <c r="AG10" s="39"/>
      <c r="AH10" s="102"/>
    </row>
    <row r="11" spans="1:37" x14ac:dyDescent="0.2">
      <c r="A11" s="260">
        <f t="shared" si="1"/>
        <v>14</v>
      </c>
      <c r="B11" s="93">
        <v>33687.854097222225</v>
      </c>
      <c r="C11" s="91" t="s">
        <v>55</v>
      </c>
      <c r="D11" s="133">
        <f t="shared" si="0"/>
        <v>35681.09999999986</v>
      </c>
      <c r="E11" s="129">
        <f t="shared" si="2"/>
        <v>2548.8000000058673</v>
      </c>
      <c r="F11" s="129">
        <f t="shared" si="3"/>
        <v>35680.26</v>
      </c>
      <c r="G11" s="39">
        <f t="shared" si="5"/>
        <v>0.83999999985826435</v>
      </c>
      <c r="H11" s="26">
        <f>4.467+0.6*(4.538-4.467)</f>
        <v>4.5095999999999998</v>
      </c>
      <c r="I11" s="140">
        <f t="shared" si="6"/>
        <v>286135608.54034412</v>
      </c>
      <c r="J11" s="87">
        <f t="shared" ref="J11:J21" si="7">I11-L11</f>
        <v>204382577.51502281</v>
      </c>
      <c r="K11" s="142">
        <f t="shared" ref="K11:K21" si="8">I11+L11</f>
        <v>367888639.56566542</v>
      </c>
      <c r="L11" s="102">
        <f t="shared" ref="L11:L21" si="9">I11*(0.1+A11*0.01)/G11</f>
        <v>81753031.02532132</v>
      </c>
      <c r="M11" s="415">
        <f>E11+0.1</f>
        <v>2548.9000000058672</v>
      </c>
      <c r="N11" s="355">
        <f>E11-0.1</f>
        <v>2548.7000000058674</v>
      </c>
      <c r="O11" s="358">
        <f t="shared" si="4"/>
        <v>13.5</v>
      </c>
      <c r="P11" s="6"/>
      <c r="Q11" s="39"/>
      <c r="R11" s="249"/>
      <c r="S11" s="192"/>
      <c r="T11" s="102"/>
      <c r="U11" s="39"/>
      <c r="V11" s="39"/>
      <c r="W11" s="333"/>
      <c r="X11" s="116"/>
      <c r="Y11" s="190"/>
      <c r="Z11" s="100"/>
      <c r="AA11" s="333"/>
      <c r="AB11" s="333"/>
      <c r="AC11" s="333"/>
      <c r="AD11" s="262"/>
      <c r="AE11" s="119"/>
      <c r="AF11" s="333"/>
      <c r="AG11" s="39"/>
      <c r="AH11" s="102"/>
    </row>
    <row r="12" spans="1:37" x14ac:dyDescent="0.2">
      <c r="A12" s="260">
        <f t="shared" si="1"/>
        <v>17</v>
      </c>
      <c r="B12" s="93">
        <v>33693.163888888892</v>
      </c>
      <c r="C12" s="91" t="s">
        <v>56</v>
      </c>
      <c r="D12" s="133">
        <f t="shared" si="0"/>
        <v>43327.199999999721</v>
      </c>
      <c r="E12" s="129">
        <f t="shared" si="2"/>
        <v>2548.6999999999534</v>
      </c>
      <c r="F12" s="129">
        <f t="shared" si="3"/>
        <v>43326.03</v>
      </c>
      <c r="G12" s="39">
        <f t="shared" si="5"/>
        <v>1.1699999997217674</v>
      </c>
      <c r="H12" s="26">
        <f>4.538+0.1*(4.635-4.538)</f>
        <v>4.5476999999999999</v>
      </c>
      <c r="I12" s="140">
        <f t="shared" si="6"/>
        <v>286622699.7120353</v>
      </c>
      <c r="J12" s="87">
        <f t="shared" si="7"/>
        <v>220478999.76275933</v>
      </c>
      <c r="K12" s="142">
        <f t="shared" si="8"/>
        <v>352766399.66131127</v>
      </c>
      <c r="L12" s="102">
        <f t="shared" si="9"/>
        <v>66143699.949275963</v>
      </c>
      <c r="M12" s="415">
        <f>E12+0.033</f>
        <v>2548.7329999999533</v>
      </c>
      <c r="N12" s="355">
        <f>E12-0.033</f>
        <v>2548.6669999999535</v>
      </c>
      <c r="O12" s="358">
        <f t="shared" si="4"/>
        <v>15.5</v>
      </c>
      <c r="P12" s="6"/>
      <c r="Q12" s="39"/>
      <c r="R12" s="249"/>
      <c r="S12" s="192"/>
      <c r="T12" s="102"/>
      <c r="U12" s="39"/>
      <c r="V12" s="39"/>
      <c r="W12" s="333"/>
      <c r="X12" s="116"/>
      <c r="Y12" s="190"/>
      <c r="Z12" s="100"/>
      <c r="AA12" s="333"/>
      <c r="AB12" s="333"/>
      <c r="AC12" s="333"/>
      <c r="AD12" s="262"/>
      <c r="AE12" s="333"/>
      <c r="AF12" s="333"/>
      <c r="AG12" s="39"/>
      <c r="AH12" s="102"/>
    </row>
    <row r="13" spans="1:37" x14ac:dyDescent="0.2">
      <c r="A13" s="260">
        <f t="shared" si="1"/>
        <v>18</v>
      </c>
      <c r="B13" s="93">
        <v>33694.933819444443</v>
      </c>
      <c r="C13" s="91" t="s">
        <v>57</v>
      </c>
      <c r="D13" s="133">
        <f t="shared" si="0"/>
        <v>45875.899999992689</v>
      </c>
      <c r="E13" s="129">
        <f t="shared" si="2"/>
        <v>2548.6999999929685</v>
      </c>
      <c r="F13" s="129">
        <f t="shared" si="3"/>
        <v>45874.62</v>
      </c>
      <c r="G13" s="39">
        <f t="shared" si="5"/>
        <v>1.2799999926864984</v>
      </c>
      <c r="H13" s="26">
        <v>4.5629999999999997</v>
      </c>
      <c r="I13" s="140">
        <f t="shared" si="6"/>
        <v>291793763.72450572</v>
      </c>
      <c r="J13" s="87">
        <f t="shared" si="7"/>
        <v>227963877.54506698</v>
      </c>
      <c r="K13" s="142">
        <f t="shared" si="8"/>
        <v>355623649.90394443</v>
      </c>
      <c r="L13" s="102">
        <f t="shared" si="9"/>
        <v>63829886.179438733</v>
      </c>
      <c r="M13" s="415">
        <f>E13+0.1</f>
        <v>2548.7999999929684</v>
      </c>
      <c r="N13" s="355">
        <f>E13-0.1</f>
        <v>2548.5999999929686</v>
      </c>
      <c r="O13" s="358">
        <f t="shared" si="4"/>
        <v>17.5</v>
      </c>
      <c r="P13" s="6"/>
      <c r="Q13" s="39"/>
      <c r="R13" s="249"/>
      <c r="S13" s="192"/>
      <c r="T13" s="102"/>
      <c r="U13" s="39"/>
      <c r="V13" s="39"/>
      <c r="W13" s="333"/>
      <c r="X13" s="116"/>
      <c r="Y13" s="190"/>
      <c r="Z13" s="100"/>
      <c r="AA13" s="333"/>
      <c r="AB13" s="333"/>
      <c r="AC13" s="333"/>
      <c r="AD13" s="262"/>
      <c r="AE13" s="333"/>
      <c r="AF13" s="333"/>
      <c r="AG13" s="39"/>
      <c r="AH13" s="102"/>
    </row>
    <row r="14" spans="1:37" x14ac:dyDescent="0.2">
      <c r="A14" s="260">
        <f t="shared" si="1"/>
        <v>22</v>
      </c>
      <c r="B14" s="93">
        <v>33702.013680555552</v>
      </c>
      <c r="C14" s="91" t="s">
        <v>57</v>
      </c>
      <c r="D14" s="133">
        <f t="shared" si="0"/>
        <v>56070.899999990361</v>
      </c>
      <c r="E14" s="129">
        <f t="shared" si="2"/>
        <v>2548.7499999994179</v>
      </c>
      <c r="F14" s="129">
        <f t="shared" si="3"/>
        <v>56068.98</v>
      </c>
      <c r="G14" s="39">
        <f t="shared" si="5"/>
        <v>1.9199999903576099</v>
      </c>
      <c r="H14" s="26">
        <v>4.6349999999999998</v>
      </c>
      <c r="I14" s="140">
        <f t="shared" si="6"/>
        <v>288027844.90135944</v>
      </c>
      <c r="J14" s="87">
        <f t="shared" si="7"/>
        <v>240023203.84338313</v>
      </c>
      <c r="K14" s="142">
        <f t="shared" si="8"/>
        <v>336032485.95933574</v>
      </c>
      <c r="L14" s="102">
        <f t="shared" si="9"/>
        <v>48004641.057976305</v>
      </c>
      <c r="M14" s="415">
        <f>E14+0.025</f>
        <v>2548.774999999418</v>
      </c>
      <c r="N14" s="355">
        <f>E14-0.025</f>
        <v>2548.7249999994178</v>
      </c>
      <c r="O14" s="358">
        <f t="shared" si="4"/>
        <v>20</v>
      </c>
      <c r="P14" s="6"/>
      <c r="Q14" s="39"/>
      <c r="R14" s="249"/>
      <c r="S14" s="192"/>
      <c r="T14" s="102"/>
      <c r="U14" s="100"/>
      <c r="V14" s="100"/>
      <c r="W14" s="333"/>
      <c r="X14" s="116"/>
      <c r="Y14" s="190"/>
      <c r="Z14" s="280"/>
      <c r="AA14" s="333"/>
      <c r="AB14" s="333"/>
      <c r="AC14" s="333"/>
      <c r="AD14" s="262"/>
      <c r="AE14" s="333"/>
      <c r="AF14" s="333"/>
      <c r="AG14" s="39"/>
      <c r="AH14" s="102"/>
    </row>
    <row r="15" spans="1:37" x14ac:dyDescent="0.2">
      <c r="A15" s="412">
        <f t="shared" si="1"/>
        <v>26</v>
      </c>
      <c r="B15" s="93">
        <v>33709.093541666669</v>
      </c>
      <c r="C15" s="91" t="s">
        <v>57</v>
      </c>
      <c r="D15" s="133">
        <f t="shared" si="0"/>
        <v>66265.89999999851</v>
      </c>
      <c r="E15" s="129">
        <f t="shared" si="2"/>
        <v>2548.7500000020373</v>
      </c>
      <c r="F15" s="129">
        <f t="shared" si="3"/>
        <v>66263.34</v>
      </c>
      <c r="G15" s="413">
        <f t="shared" si="5"/>
        <v>2.5599999985133763</v>
      </c>
      <c r="H15" s="414">
        <v>4.7169999999999996</v>
      </c>
      <c r="I15" s="140">
        <f t="shared" si="6"/>
        <v>295884328.98692769</v>
      </c>
      <c r="J15" s="87">
        <f t="shared" si="7"/>
        <v>254275595.19897828</v>
      </c>
      <c r="K15" s="142">
        <f t="shared" si="8"/>
        <v>337493062.77487707</v>
      </c>
      <c r="L15" s="102">
        <f t="shared" si="9"/>
        <v>41608733.787949406</v>
      </c>
      <c r="M15" s="415">
        <f>E15+0.025</f>
        <v>2548.7750000020374</v>
      </c>
      <c r="N15" s="355">
        <f>E15-0.025</f>
        <v>2548.7250000020372</v>
      </c>
      <c r="O15" s="358">
        <f t="shared" si="4"/>
        <v>24</v>
      </c>
      <c r="P15" s="6"/>
      <c r="Q15" s="39"/>
      <c r="R15" s="249"/>
      <c r="S15" s="192"/>
      <c r="T15" s="102"/>
      <c r="U15" s="100"/>
      <c r="V15" s="100"/>
      <c r="W15" s="39"/>
      <c r="X15" s="116"/>
      <c r="Y15" s="190"/>
      <c r="Z15" s="280"/>
      <c r="AA15" s="333"/>
      <c r="AB15" s="333"/>
      <c r="AC15" s="333"/>
      <c r="AD15" s="262"/>
      <c r="AE15" s="333"/>
      <c r="AF15" s="333"/>
      <c r="AG15" s="39"/>
      <c r="AH15" s="102"/>
    </row>
    <row r="16" spans="1:37" x14ac:dyDescent="0.2">
      <c r="A16" s="260">
        <f t="shared" si="1"/>
        <v>31</v>
      </c>
      <c r="B16" s="93">
        <v>33717.943472222221</v>
      </c>
      <c r="C16" s="91" t="s">
        <v>58</v>
      </c>
      <c r="D16" s="133">
        <f t="shared" si="0"/>
        <v>79009.799999993993</v>
      </c>
      <c r="E16" s="129">
        <f t="shared" si="2"/>
        <v>2548.7799999990966</v>
      </c>
      <c r="F16" s="129">
        <f t="shared" si="3"/>
        <v>79006.290000000008</v>
      </c>
      <c r="G16" s="39">
        <f t="shared" si="5"/>
        <v>3.5099999939848203</v>
      </c>
      <c r="H16" s="26">
        <v>4.82</v>
      </c>
      <c r="I16" s="140">
        <f t="shared" si="6"/>
        <v>288966826.30717623</v>
      </c>
      <c r="J16" s="87">
        <f t="shared" si="7"/>
        <v>255212866.48125646</v>
      </c>
      <c r="K16" s="142">
        <f t="shared" si="8"/>
        <v>322720786.13309598</v>
      </c>
      <c r="L16" s="102">
        <f t="shared" si="9"/>
        <v>33753959.82591977</v>
      </c>
      <c r="M16" s="415">
        <f>E16+0.02</f>
        <v>2548.7999999990966</v>
      </c>
      <c r="N16" s="355">
        <f>E16-0.02</f>
        <v>2548.7599999990966</v>
      </c>
      <c r="O16" s="358">
        <f t="shared" si="4"/>
        <v>28.5</v>
      </c>
      <c r="P16" s="6"/>
      <c r="Q16" s="39"/>
      <c r="R16" s="249"/>
      <c r="S16" s="192"/>
      <c r="T16" s="102"/>
      <c r="U16" s="100"/>
      <c r="V16" s="100"/>
      <c r="W16" s="333"/>
      <c r="X16" s="116"/>
      <c r="Y16" s="190"/>
      <c r="Z16" s="100"/>
      <c r="AA16" s="39"/>
      <c r="AB16" s="190"/>
      <c r="AC16" s="190"/>
      <c r="AD16" s="262"/>
      <c r="AE16" s="119"/>
      <c r="AF16" s="333"/>
      <c r="AG16" s="39"/>
      <c r="AH16" s="102"/>
    </row>
    <row r="17" spans="1:38" x14ac:dyDescent="0.2">
      <c r="A17" s="260">
        <f t="shared" si="1"/>
        <v>35</v>
      </c>
      <c r="B17" s="93">
        <v>33725.023472222223</v>
      </c>
      <c r="C17" s="91" t="s">
        <v>50</v>
      </c>
      <c r="D17" s="133">
        <f t="shared" si="0"/>
        <v>89204.999999996508</v>
      </c>
      <c r="E17" s="129">
        <f t="shared" si="2"/>
        <v>2548.8000000006286</v>
      </c>
      <c r="F17" s="129">
        <f t="shared" si="3"/>
        <v>89200.650000000009</v>
      </c>
      <c r="G17" s="39">
        <f t="shared" si="5"/>
        <v>4.3499999964988092</v>
      </c>
      <c r="H17" s="26">
        <v>4.93</v>
      </c>
      <c r="I17" s="140">
        <f t="shared" si="6"/>
        <v>296215246.27672929</v>
      </c>
      <c r="J17" s="87">
        <f t="shared" si="7"/>
        <v>265572289.74067986</v>
      </c>
      <c r="K17" s="142">
        <f t="shared" si="8"/>
        <v>326858202.81277871</v>
      </c>
      <c r="L17" s="102">
        <f t="shared" si="9"/>
        <v>30642956.536049433</v>
      </c>
      <c r="M17" s="415">
        <f>E17+0.025</f>
        <v>2548.8250000006287</v>
      </c>
      <c r="N17" s="355">
        <f>E17-0.025</f>
        <v>2548.7750000006286</v>
      </c>
      <c r="O17" s="358">
        <f t="shared" si="4"/>
        <v>33</v>
      </c>
      <c r="P17" s="6"/>
      <c r="Q17" s="39"/>
      <c r="R17" s="249"/>
      <c r="S17" s="192"/>
      <c r="T17" s="102"/>
      <c r="U17" s="100"/>
      <c r="V17" s="100"/>
      <c r="W17" s="333"/>
      <c r="X17" s="116"/>
      <c r="Y17" s="190"/>
      <c r="Z17" s="100"/>
      <c r="AA17" s="333"/>
      <c r="AB17" s="290"/>
      <c r="AC17" s="290"/>
      <c r="AD17" s="262"/>
      <c r="AE17" s="333"/>
      <c r="AF17" s="333"/>
      <c r="AG17" s="39"/>
      <c r="AH17" s="102"/>
    </row>
    <row r="18" spans="1:38" x14ac:dyDescent="0.2">
      <c r="A18" s="260">
        <f t="shared" si="1"/>
        <v>44</v>
      </c>
      <c r="B18" s="93">
        <v>33740.953472222223</v>
      </c>
      <c r="C18" s="91" t="s">
        <v>56</v>
      </c>
      <c r="D18" s="133">
        <f t="shared" si="0"/>
        <v>112144.19999999693</v>
      </c>
      <c r="E18" s="129">
        <f t="shared" si="2"/>
        <v>2548.8000000000466</v>
      </c>
      <c r="F18" s="129">
        <f t="shared" si="3"/>
        <v>112137.96</v>
      </c>
      <c r="G18" s="39">
        <f t="shared" si="5"/>
        <v>6.2399999969202327</v>
      </c>
      <c r="H18" s="26">
        <v>5.1559999999999997</v>
      </c>
      <c r="I18" s="140">
        <f t="shared" si="6"/>
        <v>296798338.38366503</v>
      </c>
      <c r="J18" s="87">
        <f t="shared" si="7"/>
        <v>271113866.78009433</v>
      </c>
      <c r="K18" s="142">
        <f t="shared" si="8"/>
        <v>322482809.98723572</v>
      </c>
      <c r="L18" s="102">
        <f t="shared" si="9"/>
        <v>25684471.603570722</v>
      </c>
      <c r="M18" s="415">
        <f>E18+0.01</f>
        <v>2548.8100000000468</v>
      </c>
      <c r="N18" s="355">
        <f>E18-0.01</f>
        <v>2548.7900000000463</v>
      </c>
      <c r="O18" s="358">
        <f t="shared" si="4"/>
        <v>39.5</v>
      </c>
      <c r="P18" s="6"/>
      <c r="Q18" s="39"/>
      <c r="R18" s="249"/>
      <c r="S18" s="192"/>
      <c r="T18" s="102"/>
      <c r="U18" s="100"/>
      <c r="V18" s="100"/>
      <c r="W18" s="39"/>
      <c r="X18" s="116"/>
      <c r="Y18" s="190"/>
      <c r="Z18" s="280"/>
      <c r="AA18" s="333"/>
      <c r="AB18" s="290"/>
      <c r="AC18" s="290"/>
      <c r="AD18" s="262"/>
      <c r="AE18" s="333"/>
      <c r="AF18" s="333"/>
      <c r="AG18" s="39"/>
      <c r="AH18" s="102"/>
    </row>
    <row r="19" spans="1:38" x14ac:dyDescent="0.2">
      <c r="A19" s="260">
        <f t="shared" si="1"/>
        <v>48</v>
      </c>
      <c r="B19" s="93">
        <v>33748.033472222225</v>
      </c>
      <c r="C19" s="91" t="s">
        <v>52</v>
      </c>
      <c r="D19" s="133">
        <f t="shared" si="0"/>
        <v>122339.39999999944</v>
      </c>
      <c r="E19" s="129">
        <f t="shared" si="2"/>
        <v>2548.8000000006286</v>
      </c>
      <c r="F19" s="129">
        <f t="shared" si="3"/>
        <v>122332.32</v>
      </c>
      <c r="G19" s="39">
        <f t="shared" si="5"/>
        <v>7.0799999994342215</v>
      </c>
      <c r="H19" s="26">
        <v>5.2809999999999997</v>
      </c>
      <c r="I19" s="140">
        <f t="shared" si="6"/>
        <v>305605064.96321625</v>
      </c>
      <c r="J19" s="87">
        <f t="shared" si="7"/>
        <v>280569621.78626287</v>
      </c>
      <c r="K19" s="142">
        <f t="shared" si="8"/>
        <v>330640508.14016962</v>
      </c>
      <c r="L19" s="102">
        <f t="shared" si="9"/>
        <v>25035443.176953379</v>
      </c>
      <c r="M19" s="415">
        <f>E19+0.025</f>
        <v>2548.8250000006287</v>
      </c>
      <c r="N19" s="355">
        <f>E19-0.025</f>
        <v>2548.7750000006286</v>
      </c>
      <c r="O19" s="358">
        <f t="shared" si="4"/>
        <v>46</v>
      </c>
      <c r="P19" s="6"/>
      <c r="Q19" s="39"/>
      <c r="R19" s="249"/>
      <c r="S19" s="192"/>
      <c r="T19" s="102"/>
      <c r="U19" s="100"/>
      <c r="V19" s="100"/>
      <c r="W19" s="333"/>
      <c r="X19" s="116"/>
      <c r="Y19" s="190"/>
      <c r="Z19" s="280"/>
      <c r="AA19" s="333"/>
      <c r="AB19" s="290"/>
      <c r="AC19" s="290"/>
      <c r="AD19" s="262"/>
      <c r="AE19" s="119"/>
      <c r="AF19" s="333"/>
      <c r="AG19" s="39"/>
      <c r="AH19" s="102"/>
    </row>
    <row r="20" spans="1:38" x14ac:dyDescent="0.2">
      <c r="A20" s="260">
        <f t="shared" si="1"/>
        <v>57</v>
      </c>
      <c r="B20" s="93">
        <v>33763.963333333333</v>
      </c>
      <c r="C20" s="91" t="s">
        <v>52</v>
      </c>
      <c r="D20" s="133">
        <f t="shared" si="0"/>
        <v>145278.39999999502</v>
      </c>
      <c r="E20" s="129">
        <f t="shared" si="2"/>
        <v>2548.7777777772862</v>
      </c>
      <c r="F20" s="129">
        <f t="shared" si="3"/>
        <v>145269.63</v>
      </c>
      <c r="G20" s="39">
        <f t="shared" si="5"/>
        <v>8.7699999950127676</v>
      </c>
      <c r="H20" s="26">
        <v>5.524</v>
      </c>
      <c r="I20" s="140">
        <f t="shared" si="6"/>
        <v>315798772.50189614</v>
      </c>
      <c r="J20" s="87">
        <f t="shared" si="7"/>
        <v>291672754.52052867</v>
      </c>
      <c r="K20" s="142">
        <f t="shared" si="8"/>
        <v>339924790.48326361</v>
      </c>
      <c r="L20" s="102">
        <f t="shared" si="9"/>
        <v>24126017.981367446</v>
      </c>
      <c r="M20" s="415">
        <f>E20+0.01</f>
        <v>2548.7877777772865</v>
      </c>
      <c r="N20" s="355">
        <f>E20-0.01</f>
        <v>2548.767777777286</v>
      </c>
      <c r="O20" s="358">
        <f t="shared" si="4"/>
        <v>52.5</v>
      </c>
      <c r="P20" s="6"/>
      <c r="Q20" s="39"/>
      <c r="R20" s="249"/>
      <c r="S20" s="192"/>
      <c r="T20" s="102"/>
      <c r="U20" s="100"/>
      <c r="V20" s="100"/>
      <c r="W20" s="39"/>
      <c r="X20" s="116"/>
      <c r="Y20" s="190"/>
      <c r="Z20" s="100"/>
      <c r="AA20" s="39"/>
      <c r="AB20" s="190"/>
      <c r="AC20" s="190"/>
      <c r="AD20" s="262"/>
      <c r="AE20" s="333"/>
      <c r="AF20" s="333"/>
      <c r="AG20" s="39"/>
      <c r="AH20" s="102"/>
    </row>
    <row r="21" spans="1:38" ht="13.5" thickBot="1" x14ac:dyDescent="0.25">
      <c r="A21" s="308">
        <f t="shared" si="1"/>
        <v>70</v>
      </c>
      <c r="B21" s="94">
        <v>33786.972916666666</v>
      </c>
      <c r="C21" s="92" t="s">
        <v>56</v>
      </c>
      <c r="D21" s="298">
        <f t="shared" si="0"/>
        <v>178412.1999999939</v>
      </c>
      <c r="E21" s="299">
        <f>(D21-D20)/(A21-A20)</f>
        <v>2548.7538461537602</v>
      </c>
      <c r="F21" s="299">
        <f t="shared" si="3"/>
        <v>178401.30000000002</v>
      </c>
      <c r="G21" s="39">
        <f t="shared" si="5"/>
        <v>10.899999993882375</v>
      </c>
      <c r="H21" s="300">
        <v>5.8550000000000004</v>
      </c>
      <c r="I21" s="140">
        <f t="shared" si="6"/>
        <v>329801542.94656914</v>
      </c>
      <c r="J21" s="189">
        <f t="shared" si="7"/>
        <v>305595925.10204291</v>
      </c>
      <c r="K21" s="189">
        <f t="shared" si="8"/>
        <v>354007160.79109538</v>
      </c>
      <c r="L21" s="408">
        <f t="shared" si="9"/>
        <v>24205617.844526261</v>
      </c>
      <c r="M21" s="416">
        <f>E21+0.01</f>
        <v>2548.7638461537604</v>
      </c>
      <c r="N21" s="362">
        <f>E21-0.01</f>
        <v>2548.7438461537599</v>
      </c>
      <c r="O21" s="359">
        <f t="shared" si="4"/>
        <v>63.5</v>
      </c>
      <c r="P21" s="6"/>
      <c r="Q21" s="39"/>
      <c r="R21" s="249"/>
      <c r="S21" s="192"/>
      <c r="T21" s="102"/>
      <c r="U21" s="100"/>
      <c r="V21" s="100"/>
      <c r="W21" s="39"/>
      <c r="X21" s="116"/>
      <c r="Y21" s="190"/>
      <c r="Z21" s="280"/>
      <c r="AA21" s="333"/>
      <c r="AB21" s="290"/>
      <c r="AC21" s="290"/>
      <c r="AD21" s="262"/>
      <c r="AE21" s="119"/>
      <c r="AF21" s="333"/>
      <c r="AG21" s="39"/>
      <c r="AH21" s="102"/>
    </row>
    <row r="22" spans="1:38" ht="16.5" thickBot="1" x14ac:dyDescent="0.25">
      <c r="A22" s="363" t="s">
        <v>31</v>
      </c>
      <c r="B22" s="364">
        <v>33864.833333333336</v>
      </c>
      <c r="C22" s="365" t="s">
        <v>76</v>
      </c>
      <c r="D22" s="366">
        <f>2548.59</f>
        <v>2548.59</v>
      </c>
      <c r="E22" s="367" t="s">
        <v>64</v>
      </c>
      <c r="F22" s="368">
        <f>(H15-H5)*149597870000/((G15-G5)*60)</f>
        <v>295884328.98692769</v>
      </c>
      <c r="G22" s="456" t="s">
        <v>94</v>
      </c>
      <c r="H22" s="457"/>
      <c r="I22" s="458"/>
      <c r="J22" s="301"/>
      <c r="K22" s="301"/>
      <c r="L22" s="301"/>
      <c r="M22" s="301"/>
      <c r="P22" s="4"/>
      <c r="Q22" s="90"/>
      <c r="R22" s="97"/>
      <c r="S22" s="97"/>
      <c r="T22" s="97"/>
      <c r="U22" s="97"/>
      <c r="V22" s="97"/>
      <c r="W22" s="333"/>
      <c r="X22" s="333"/>
      <c r="Y22" s="178"/>
      <c r="Z22" s="178"/>
      <c r="AA22" s="39"/>
      <c r="AB22" s="190"/>
      <c r="AC22" s="190"/>
      <c r="AD22" s="262"/>
      <c r="AE22" s="119"/>
      <c r="AF22" s="333"/>
      <c r="AG22" s="39"/>
      <c r="AH22" s="102"/>
    </row>
    <row r="23" spans="1:38" x14ac:dyDescent="0.2">
      <c r="A23" s="343"/>
      <c r="B23" s="333"/>
      <c r="C23" s="333"/>
      <c r="D23" s="39"/>
      <c r="E23" s="338"/>
      <c r="F23" s="39"/>
      <c r="G23" s="333"/>
      <c r="H23" s="333"/>
      <c r="I23" s="333"/>
      <c r="J23" s="39"/>
      <c r="K23" s="162"/>
      <c r="M23" s="330"/>
      <c r="Q23" s="90"/>
      <c r="AA23" s="39"/>
      <c r="AB23" s="333"/>
      <c r="AC23" s="333"/>
      <c r="AD23" s="333"/>
      <c r="AE23" s="333"/>
      <c r="AF23" s="333"/>
      <c r="AG23" s="333"/>
      <c r="AH23" s="90"/>
      <c r="AK23" s="90"/>
    </row>
    <row r="24" spans="1:38" x14ac:dyDescent="0.2">
      <c r="A24" s="340"/>
      <c r="B24" s="124"/>
      <c r="C24" s="139"/>
      <c r="D24" s="125"/>
      <c r="E24" s="201"/>
      <c r="F24" s="281"/>
      <c r="G24" s="204"/>
      <c r="H24" s="342"/>
      <c r="I24" s="342"/>
      <c r="J24" s="281"/>
      <c r="K24" s="90"/>
      <c r="L24" s="97"/>
      <c r="M24" s="97"/>
      <c r="N24" s="331"/>
      <c r="Q24" s="4"/>
      <c r="AG24" s="90"/>
    </row>
    <row r="25" spans="1:38" x14ac:dyDescent="0.2">
      <c r="A25" s="340"/>
      <c r="B25" s="124"/>
      <c r="C25" s="139"/>
      <c r="D25" s="125"/>
      <c r="E25" s="201"/>
      <c r="F25" s="281"/>
      <c r="G25" s="204"/>
      <c r="H25" s="342"/>
      <c r="I25" s="342"/>
      <c r="J25" s="281"/>
      <c r="K25" s="90"/>
      <c r="L25" s="97"/>
      <c r="M25" s="97"/>
      <c r="N25" s="331"/>
      <c r="AG25" s="90"/>
    </row>
    <row r="26" spans="1:38" x14ac:dyDescent="0.2">
      <c r="A26" s="340"/>
      <c r="B26" s="124"/>
      <c r="C26" s="139"/>
      <c r="D26" s="125"/>
      <c r="E26" s="201"/>
      <c r="F26" s="281"/>
      <c r="G26" s="204"/>
      <c r="H26" s="342"/>
      <c r="I26" s="342"/>
      <c r="J26" s="281"/>
      <c r="K26" s="90"/>
      <c r="L26" s="97"/>
      <c r="M26" s="97"/>
      <c r="N26" s="331"/>
      <c r="Q26" s="169"/>
      <c r="R26" s="169"/>
      <c r="S26" s="169"/>
      <c r="T26" s="97"/>
      <c r="U26" s="97"/>
      <c r="V26" s="97"/>
      <c r="AG26" s="90"/>
    </row>
    <row r="27" spans="1:38" x14ac:dyDescent="0.2">
      <c r="A27" s="340"/>
      <c r="B27" s="124"/>
      <c r="C27" s="139"/>
      <c r="D27" s="125"/>
      <c r="E27" s="201"/>
      <c r="F27" s="281"/>
      <c r="G27" s="204"/>
      <c r="H27" s="342"/>
      <c r="I27" s="342"/>
      <c r="J27" s="281"/>
      <c r="K27" s="90"/>
      <c r="L27" s="97"/>
      <c r="M27" s="97"/>
      <c r="N27" s="331"/>
      <c r="R27" s="97"/>
      <c r="W27" s="39"/>
      <c r="AG27" s="90"/>
    </row>
    <row r="28" spans="1:38" ht="12.75" customHeight="1" x14ac:dyDescent="0.2">
      <c r="A28" s="340"/>
      <c r="B28" s="124"/>
      <c r="C28" s="139"/>
      <c r="D28" s="125"/>
      <c r="E28" s="201"/>
      <c r="F28" s="281"/>
      <c r="G28" s="204"/>
      <c r="H28" s="342"/>
      <c r="I28" s="342"/>
      <c r="J28" s="281"/>
      <c r="K28" s="90"/>
      <c r="L28" s="97"/>
      <c r="M28" s="97"/>
      <c r="N28" s="331"/>
      <c r="Q28" s="157"/>
      <c r="R28" s="97"/>
      <c r="S28" s="97"/>
      <c r="T28" s="333"/>
      <c r="U28" s="333"/>
      <c r="V28" s="333"/>
      <c r="W28" s="333"/>
      <c r="X28" s="333"/>
      <c r="Y28" s="333"/>
      <c r="Z28" s="333"/>
      <c r="AG28" s="90"/>
    </row>
    <row r="29" spans="1:38" x14ac:dyDescent="0.2">
      <c r="A29" s="340"/>
      <c r="B29" s="124"/>
      <c r="C29" s="139"/>
      <c r="D29" s="125"/>
      <c r="E29" s="201"/>
      <c r="F29" s="281"/>
      <c r="G29" s="204"/>
      <c r="H29" s="342"/>
      <c r="I29" s="342"/>
      <c r="J29" s="281"/>
      <c r="K29" s="90"/>
      <c r="L29" s="97"/>
      <c r="M29" s="97"/>
      <c r="N29" s="331"/>
      <c r="U29" s="333"/>
      <c r="V29" s="333"/>
      <c r="W29" s="333"/>
      <c r="X29" s="272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L29" s="90"/>
    </row>
    <row r="30" spans="1:38" x14ac:dyDescent="0.2">
      <c r="A30" s="340"/>
      <c r="B30" s="124"/>
      <c r="C30" s="139"/>
      <c r="D30" s="125"/>
      <c r="E30" s="201"/>
      <c r="F30" s="281"/>
      <c r="G30" s="204"/>
      <c r="H30" s="342"/>
      <c r="I30" s="342"/>
      <c r="J30" s="281"/>
      <c r="K30" s="90"/>
      <c r="L30" s="97"/>
      <c r="M30" s="97"/>
      <c r="N30" s="331"/>
      <c r="U30" s="203"/>
      <c r="V30" s="333"/>
      <c r="W30" s="339"/>
      <c r="X30" s="339"/>
      <c r="Y30" s="340"/>
      <c r="Z30" s="109"/>
      <c r="AA30" s="333"/>
      <c r="AB30" s="39"/>
      <c r="AC30" s="333"/>
      <c r="AD30" s="333"/>
      <c r="AE30" s="289"/>
      <c r="AF30" s="289"/>
      <c r="AG30" s="289"/>
      <c r="AH30" s="289"/>
      <c r="AL30" s="90"/>
    </row>
    <row r="31" spans="1:38" x14ac:dyDescent="0.2">
      <c r="A31" s="340"/>
      <c r="B31" s="124"/>
      <c r="C31" s="139"/>
      <c r="D31" s="125"/>
      <c r="E31" s="201"/>
      <c r="F31" s="281"/>
      <c r="G31" s="204"/>
      <c r="H31" s="342"/>
      <c r="I31" s="342"/>
      <c r="J31" s="281"/>
      <c r="K31" s="90"/>
      <c r="L31" s="97"/>
      <c r="M31" s="97"/>
      <c r="N31" s="331"/>
      <c r="U31" s="203"/>
      <c r="V31" s="333"/>
      <c r="W31" s="114"/>
      <c r="X31" s="338"/>
      <c r="Y31" s="277"/>
      <c r="Z31" s="109"/>
      <c r="AA31" s="109"/>
      <c r="AB31" s="333"/>
      <c r="AC31" s="333"/>
      <c r="AD31" s="333"/>
      <c r="AE31" s="177"/>
      <c r="AF31" s="340"/>
      <c r="AG31" s="340"/>
      <c r="AH31" s="340"/>
      <c r="AL31" s="90"/>
    </row>
    <row r="32" spans="1:38" x14ac:dyDescent="0.2">
      <c r="A32" s="340"/>
      <c r="B32" s="124"/>
      <c r="C32" s="139"/>
      <c r="D32" s="125"/>
      <c r="E32" s="201"/>
      <c r="F32" s="281"/>
      <c r="G32" s="204"/>
      <c r="H32" s="342"/>
      <c r="I32" s="342"/>
      <c r="J32" s="281"/>
      <c r="K32" s="90"/>
      <c r="L32" s="97"/>
      <c r="M32" s="97"/>
      <c r="N32" s="331"/>
      <c r="R32" s="249"/>
      <c r="T32" s="39"/>
      <c r="U32" s="333"/>
      <c r="V32" s="333"/>
      <c r="W32" s="340"/>
      <c r="X32" s="333"/>
      <c r="Y32" s="333"/>
      <c r="Z32" s="333"/>
      <c r="AA32" s="109"/>
      <c r="AB32" s="333"/>
      <c r="AC32" s="333"/>
      <c r="AD32" s="333"/>
      <c r="AE32" s="274"/>
      <c r="AF32" s="275"/>
      <c r="AG32" s="333"/>
      <c r="AH32" s="333"/>
      <c r="AL32" s="90"/>
    </row>
    <row r="33" spans="1:38" x14ac:dyDescent="0.2">
      <c r="A33" s="340"/>
      <c r="B33" s="124"/>
      <c r="C33" s="139"/>
      <c r="D33" s="125"/>
      <c r="E33" s="201"/>
      <c r="F33" s="281"/>
      <c r="G33" s="204"/>
      <c r="H33" s="342"/>
      <c r="I33" s="342"/>
      <c r="J33" s="281"/>
      <c r="K33" s="90"/>
      <c r="L33" s="97"/>
      <c r="M33" s="97"/>
      <c r="N33" s="331"/>
      <c r="R33" s="158"/>
      <c r="T33" s="39"/>
      <c r="U33" s="333"/>
      <c r="V33" s="333"/>
      <c r="W33" s="340"/>
      <c r="X33" s="192"/>
      <c r="Y33" s="102"/>
      <c r="Z33" s="39"/>
      <c r="AA33" s="333"/>
      <c r="AB33" s="39"/>
      <c r="AC33" s="333"/>
      <c r="AD33" s="333"/>
      <c r="AE33" s="333"/>
      <c r="AF33" s="333"/>
      <c r="AG33" s="333"/>
      <c r="AH33" s="333"/>
      <c r="AL33" s="90"/>
    </row>
    <row r="34" spans="1:38" x14ac:dyDescent="0.2">
      <c r="A34" s="340"/>
      <c r="B34" s="124"/>
      <c r="C34" s="139"/>
      <c r="D34" s="125"/>
      <c r="E34" s="201"/>
      <c r="F34" s="281"/>
      <c r="G34" s="204"/>
      <c r="H34" s="342"/>
      <c r="I34" s="342"/>
      <c r="J34" s="281"/>
      <c r="K34" s="90"/>
      <c r="L34" s="97"/>
      <c r="M34" s="97"/>
      <c r="N34" s="331"/>
      <c r="R34" s="158"/>
      <c r="T34" s="39"/>
      <c r="U34" s="333"/>
      <c r="V34" s="333"/>
      <c r="W34" s="340"/>
      <c r="X34" s="192"/>
      <c r="Y34" s="102"/>
      <c r="Z34" s="39"/>
      <c r="AA34" s="39"/>
      <c r="AB34" s="333"/>
      <c r="AC34" s="333"/>
      <c r="AD34" s="100"/>
      <c r="AE34" s="333"/>
      <c r="AF34" s="333"/>
      <c r="AG34" s="333"/>
      <c r="AH34" s="333"/>
      <c r="AL34" s="39"/>
    </row>
    <row r="35" spans="1:38" x14ac:dyDescent="0.2">
      <c r="A35" s="340"/>
      <c r="B35" s="124"/>
      <c r="C35" s="139"/>
      <c r="D35" s="125"/>
      <c r="E35" s="201"/>
      <c r="F35" s="281"/>
      <c r="G35" s="204"/>
      <c r="H35" s="342"/>
      <c r="I35" s="342"/>
      <c r="J35" s="281"/>
      <c r="K35" s="90"/>
      <c r="L35" s="97"/>
      <c r="M35" s="97"/>
      <c r="N35" s="331"/>
      <c r="R35" s="158"/>
      <c r="T35" s="39"/>
      <c r="U35" s="379"/>
      <c r="V35" s="379"/>
      <c r="W35" s="340"/>
      <c r="X35" s="192"/>
      <c r="Y35" s="102"/>
      <c r="Z35" s="39"/>
      <c r="AA35" s="39"/>
      <c r="AB35" s="379"/>
      <c r="AC35" s="379"/>
      <c r="AD35" s="100"/>
      <c r="AE35" s="333"/>
      <c r="AF35" s="333"/>
      <c r="AG35" s="333"/>
      <c r="AH35" s="333"/>
      <c r="AL35" s="39"/>
    </row>
    <row r="36" spans="1:38" x14ac:dyDescent="0.2">
      <c r="A36" s="340"/>
      <c r="B36" s="124"/>
      <c r="C36" s="139"/>
      <c r="D36" s="125"/>
      <c r="E36" s="201"/>
      <c r="F36" s="281"/>
      <c r="G36" s="204"/>
      <c r="H36" s="342"/>
      <c r="I36" s="342"/>
      <c r="J36" s="281"/>
      <c r="K36" s="90"/>
      <c r="L36" s="97"/>
      <c r="M36" s="97"/>
      <c r="N36" s="331"/>
      <c r="R36" s="158"/>
      <c r="T36" s="39"/>
      <c r="U36" s="379"/>
      <c r="V36" s="379"/>
      <c r="W36" s="340"/>
      <c r="X36" s="192"/>
      <c r="Y36" s="102"/>
      <c r="Z36" s="39"/>
      <c r="AA36" s="39"/>
      <c r="AB36" s="379"/>
      <c r="AC36" s="379"/>
      <c r="AD36" s="100"/>
      <c r="AE36" s="333"/>
      <c r="AF36" s="333"/>
      <c r="AG36" s="333"/>
      <c r="AH36" s="333"/>
      <c r="AL36" s="39"/>
    </row>
    <row r="37" spans="1:38" x14ac:dyDescent="0.2">
      <c r="A37" s="340"/>
      <c r="B37" s="124"/>
      <c r="C37" s="139"/>
      <c r="D37" s="125"/>
      <c r="E37" s="201"/>
      <c r="F37" s="281"/>
      <c r="G37" s="204"/>
      <c r="H37" s="342"/>
      <c r="I37" s="342"/>
      <c r="J37" s="281"/>
      <c r="K37" s="90"/>
      <c r="L37" s="97"/>
      <c r="M37" s="97"/>
      <c r="N37" s="331"/>
      <c r="R37" s="158"/>
      <c r="T37" s="39"/>
      <c r="U37" s="379"/>
      <c r="V37" s="379"/>
      <c r="W37" s="340"/>
      <c r="X37" s="192"/>
      <c r="Y37" s="102"/>
      <c r="Z37" s="39"/>
      <c r="AA37" s="39"/>
      <c r="AB37" s="379"/>
      <c r="AC37" s="379"/>
      <c r="AD37" s="100"/>
      <c r="AE37" s="333"/>
      <c r="AF37" s="333"/>
      <c r="AG37" s="333"/>
      <c r="AH37" s="333"/>
      <c r="AL37" s="39"/>
    </row>
    <row r="38" spans="1:38" x14ac:dyDescent="0.2">
      <c r="A38" s="340"/>
      <c r="B38" s="124"/>
      <c r="C38" s="139"/>
      <c r="D38" s="125"/>
      <c r="E38" s="201"/>
      <c r="F38" s="281"/>
      <c r="G38" s="204"/>
      <c r="H38" s="342"/>
      <c r="I38" s="342"/>
      <c r="J38" s="281"/>
      <c r="K38" s="90"/>
      <c r="L38" s="97"/>
      <c r="M38" s="97"/>
      <c r="N38" s="331"/>
      <c r="R38" s="158"/>
      <c r="T38" s="39"/>
      <c r="U38" s="379"/>
      <c r="V38" s="379"/>
      <c r="W38" s="340"/>
      <c r="X38" s="192"/>
      <c r="Y38" s="102"/>
      <c r="Z38" s="39"/>
      <c r="AA38" s="39"/>
      <c r="AB38" s="379"/>
      <c r="AC38" s="379"/>
      <c r="AD38" s="100"/>
      <c r="AE38" s="333"/>
      <c r="AF38" s="333"/>
      <c r="AG38" s="333"/>
      <c r="AH38" s="333"/>
      <c r="AI38" s="353"/>
      <c r="AL38" s="39"/>
    </row>
    <row r="39" spans="1:38" x14ac:dyDescent="0.2">
      <c r="A39" s="340"/>
      <c r="B39" s="124"/>
      <c r="C39" s="139"/>
      <c r="D39" s="125"/>
      <c r="E39" s="201"/>
      <c r="F39" s="281"/>
      <c r="G39" s="204"/>
      <c r="H39" s="342"/>
      <c r="I39" s="342"/>
      <c r="J39" s="281"/>
      <c r="K39" s="90"/>
      <c r="L39" s="97"/>
      <c r="M39" s="97"/>
      <c r="N39" s="331"/>
      <c r="R39" s="158"/>
      <c r="T39" s="39"/>
      <c r="U39" s="379"/>
      <c r="V39" s="379"/>
      <c r="W39" s="340"/>
      <c r="X39" s="192"/>
      <c r="Y39" s="102"/>
      <c r="Z39" s="39"/>
      <c r="AA39" s="39"/>
      <c r="AB39" s="379"/>
      <c r="AC39" s="379"/>
      <c r="AD39" s="100"/>
      <c r="AE39" s="280"/>
      <c r="AF39" s="333"/>
      <c r="AG39" s="333"/>
      <c r="AH39" s="333"/>
      <c r="AI39" s="282"/>
      <c r="AL39" s="39"/>
    </row>
    <row r="40" spans="1:38" x14ac:dyDescent="0.2">
      <c r="A40" s="340"/>
      <c r="B40" s="124"/>
      <c r="C40" s="139"/>
      <c r="D40" s="125"/>
      <c r="E40" s="201"/>
      <c r="F40" s="281"/>
      <c r="G40" s="204"/>
      <c r="H40" s="342"/>
      <c r="I40" s="342"/>
      <c r="J40" s="281"/>
      <c r="K40" s="90"/>
      <c r="L40" s="97"/>
      <c r="M40" s="97"/>
      <c r="N40" s="331"/>
      <c r="R40" s="158"/>
      <c r="T40" s="39"/>
      <c r="U40" s="379"/>
      <c r="V40" s="379"/>
      <c r="W40" s="340"/>
      <c r="X40" s="192"/>
      <c r="Y40" s="102"/>
      <c r="Z40" s="39"/>
      <c r="AA40" s="39"/>
      <c r="AB40" s="379"/>
      <c r="AC40" s="379"/>
      <c r="AD40" s="100"/>
      <c r="AE40" s="333"/>
      <c r="AF40" s="333"/>
      <c r="AG40" s="333"/>
      <c r="AH40" s="333"/>
      <c r="AI40" s="282"/>
      <c r="AL40" s="39"/>
    </row>
    <row r="41" spans="1:38" x14ac:dyDescent="0.2">
      <c r="A41" s="340"/>
      <c r="B41" s="124"/>
      <c r="C41" s="139"/>
      <c r="D41" s="125"/>
      <c r="E41" s="201"/>
      <c r="F41" s="281"/>
      <c r="G41" s="204"/>
      <c r="H41" s="342"/>
      <c r="I41" s="342"/>
      <c r="J41" s="281"/>
      <c r="K41" s="90"/>
      <c r="L41" s="97"/>
      <c r="M41" s="97"/>
      <c r="N41" s="331"/>
      <c r="R41" s="158"/>
      <c r="T41" s="39"/>
      <c r="U41" s="379"/>
      <c r="V41" s="379"/>
      <c r="W41" s="340"/>
      <c r="X41" s="192"/>
      <c r="Y41" s="102"/>
      <c r="Z41" s="39"/>
      <c r="AA41" s="39"/>
      <c r="AB41" s="379"/>
      <c r="AC41" s="379"/>
      <c r="AD41" s="100"/>
      <c r="AE41" s="333"/>
      <c r="AF41" s="333"/>
      <c r="AG41" s="333"/>
      <c r="AH41" s="333"/>
      <c r="AI41" s="282"/>
      <c r="AL41" s="39"/>
    </row>
    <row r="42" spans="1:38" x14ac:dyDescent="0.2">
      <c r="A42" s="340"/>
      <c r="B42" s="124"/>
      <c r="C42" s="139"/>
      <c r="D42" s="125"/>
      <c r="E42" s="201"/>
      <c r="F42" s="281"/>
      <c r="G42" s="204"/>
      <c r="H42" s="342"/>
      <c r="I42" s="342"/>
      <c r="J42" s="281"/>
      <c r="K42" s="90"/>
      <c r="L42" s="97"/>
      <c r="M42" s="97"/>
      <c r="N42" s="331"/>
      <c r="R42" s="158"/>
      <c r="T42" s="39"/>
      <c r="U42" s="379"/>
      <c r="V42" s="379"/>
      <c r="W42" s="340"/>
      <c r="X42" s="192"/>
      <c r="Y42" s="102"/>
      <c r="Z42" s="39"/>
      <c r="AA42" s="39"/>
      <c r="AB42" s="379"/>
      <c r="AC42" s="379"/>
      <c r="AD42" s="100"/>
      <c r="AE42" s="333"/>
      <c r="AF42" s="333"/>
      <c r="AG42" s="333"/>
      <c r="AH42" s="333"/>
      <c r="AI42" s="282"/>
      <c r="AL42" s="39"/>
    </row>
    <row r="43" spans="1:38" x14ac:dyDescent="0.2">
      <c r="A43" s="340"/>
      <c r="B43" s="124"/>
      <c r="C43" s="139"/>
      <c r="D43" s="125"/>
      <c r="E43" s="201"/>
      <c r="F43" s="281"/>
      <c r="G43" s="204"/>
      <c r="H43" s="342"/>
      <c r="I43" s="342"/>
      <c r="J43" s="281"/>
      <c r="K43" s="90"/>
      <c r="L43" s="97"/>
      <c r="M43" s="97"/>
      <c r="N43" s="331"/>
      <c r="R43" s="158"/>
      <c r="T43" s="39"/>
      <c r="U43" s="379"/>
      <c r="V43" s="379"/>
      <c r="W43" s="340"/>
      <c r="X43" s="192"/>
      <c r="Y43" s="102"/>
      <c r="Z43" s="39"/>
      <c r="AA43" s="39"/>
      <c r="AB43" s="379"/>
      <c r="AC43" s="379"/>
      <c r="AD43" s="100"/>
      <c r="AE43" s="280"/>
      <c r="AF43" s="39"/>
      <c r="AG43" s="190"/>
      <c r="AH43" s="190"/>
      <c r="AI43" s="282"/>
      <c r="AL43" s="39"/>
    </row>
    <row r="44" spans="1:38" x14ac:dyDescent="0.2">
      <c r="A44" s="340"/>
      <c r="B44" s="124"/>
      <c r="C44" s="139"/>
      <c r="D44" s="125"/>
      <c r="E44" s="201"/>
      <c r="F44" s="281"/>
      <c r="G44" s="204"/>
      <c r="H44" s="342"/>
      <c r="I44" s="342"/>
      <c r="J44" s="281"/>
      <c r="K44" s="90"/>
      <c r="L44" s="97"/>
      <c r="M44" s="97"/>
      <c r="N44" s="331"/>
      <c r="R44" s="158"/>
      <c r="T44" s="39"/>
      <c r="U44" s="379"/>
      <c r="V44" s="379"/>
      <c r="W44" s="340"/>
      <c r="X44" s="192"/>
      <c r="Y44" s="102"/>
      <c r="Z44" s="39"/>
      <c r="AA44" s="39"/>
      <c r="AB44" s="379"/>
      <c r="AC44" s="379"/>
      <c r="AD44" s="100"/>
      <c r="AE44" s="333"/>
      <c r="AF44" s="333"/>
      <c r="AG44" s="290"/>
      <c r="AH44" s="290"/>
      <c r="AI44" s="282"/>
      <c r="AL44" s="39"/>
    </row>
    <row r="45" spans="1:38" x14ac:dyDescent="0.2">
      <c r="A45" s="340"/>
      <c r="B45" s="124"/>
      <c r="C45" s="139"/>
      <c r="D45" s="125"/>
      <c r="E45" s="201"/>
      <c r="F45" s="281"/>
      <c r="G45" s="204"/>
      <c r="H45" s="342"/>
      <c r="I45" s="342"/>
      <c r="J45" s="281"/>
      <c r="K45" s="90"/>
      <c r="L45" s="97"/>
      <c r="M45" s="97"/>
      <c r="N45" s="331"/>
      <c r="R45" s="158"/>
      <c r="T45" s="39"/>
      <c r="U45" s="379"/>
      <c r="V45" s="379"/>
      <c r="W45" s="340"/>
      <c r="X45" s="192"/>
      <c r="Y45" s="102"/>
      <c r="Z45" s="39"/>
      <c r="AA45" s="39"/>
      <c r="AB45" s="379"/>
      <c r="AC45" s="379"/>
      <c r="AD45" s="39"/>
      <c r="AE45" s="333"/>
      <c r="AF45" s="333"/>
      <c r="AG45" s="290"/>
      <c r="AH45" s="290"/>
      <c r="AI45" s="282"/>
      <c r="AL45" s="39"/>
    </row>
    <row r="46" spans="1:38" x14ac:dyDescent="0.2">
      <c r="A46" s="340"/>
      <c r="B46" s="124"/>
      <c r="C46" s="139"/>
      <c r="D46" s="125"/>
      <c r="E46" s="201"/>
      <c r="F46" s="281"/>
      <c r="G46" s="204"/>
      <c r="H46" s="342"/>
      <c r="I46" s="342"/>
      <c r="J46" s="281"/>
      <c r="K46" s="90"/>
      <c r="L46" s="97"/>
      <c r="M46" s="97"/>
      <c r="N46" s="331"/>
      <c r="R46" s="158"/>
      <c r="T46" s="39"/>
      <c r="U46" s="379"/>
      <c r="V46" s="379"/>
      <c r="W46" s="340"/>
      <c r="X46" s="192"/>
      <c r="Y46" s="102"/>
      <c r="Z46" s="39"/>
      <c r="AA46" s="39"/>
      <c r="AB46" s="379"/>
      <c r="AC46" s="379"/>
      <c r="AD46" s="100"/>
      <c r="AE46" s="333"/>
      <c r="AF46" s="333"/>
      <c r="AG46" s="290"/>
      <c r="AH46" s="290"/>
      <c r="AI46" s="282"/>
      <c r="AL46" s="39"/>
    </row>
    <row r="47" spans="1:38" ht="14.25" x14ac:dyDescent="0.2">
      <c r="A47" s="3"/>
      <c r="B47" s="22"/>
      <c r="C47" s="45"/>
      <c r="D47" s="23"/>
      <c r="E47" s="3"/>
      <c r="F47" s="4"/>
      <c r="G47" s="4"/>
      <c r="H47" s="60"/>
      <c r="I47" s="105"/>
      <c r="J47" s="4"/>
      <c r="K47" s="4"/>
      <c r="L47" s="97"/>
      <c r="M47" s="100"/>
      <c r="N47" s="97"/>
      <c r="R47" s="158"/>
      <c r="T47" s="39"/>
      <c r="U47" s="340"/>
      <c r="V47" s="333"/>
      <c r="W47" s="340"/>
      <c r="X47" s="192"/>
      <c r="Y47" s="102"/>
      <c r="Z47" s="39"/>
      <c r="AA47" s="39"/>
      <c r="AB47" s="333"/>
      <c r="AC47" s="333"/>
      <c r="AD47" s="100"/>
      <c r="AE47" s="333"/>
      <c r="AF47" s="333"/>
      <c r="AG47" s="290"/>
      <c r="AH47" s="290"/>
      <c r="AI47" s="282"/>
      <c r="AL47" s="39"/>
    </row>
    <row r="48" spans="1:38" x14ac:dyDescent="0.2">
      <c r="A48" s="96"/>
      <c r="B48" s="96"/>
      <c r="C48" s="203"/>
      <c r="D48" s="96"/>
      <c r="E48" s="96"/>
      <c r="F48" s="96"/>
      <c r="G48" s="96"/>
      <c r="H48" s="96"/>
      <c r="I48" s="96"/>
      <c r="J48" s="96"/>
      <c r="K48" s="96"/>
      <c r="L48" s="169"/>
      <c r="M48" s="96"/>
      <c r="N48" s="96"/>
      <c r="O48" s="96"/>
      <c r="P48" s="96"/>
      <c r="R48" s="158"/>
      <c r="T48" s="39"/>
      <c r="U48" s="102"/>
      <c r="V48" s="333"/>
      <c r="W48" s="340"/>
      <c r="X48" s="192"/>
      <c r="Y48" s="102"/>
      <c r="Z48" s="39"/>
      <c r="AA48" s="39"/>
      <c r="AB48" s="333"/>
      <c r="AC48" s="333"/>
      <c r="AD48" s="100"/>
      <c r="AE48" s="333"/>
      <c r="AF48" s="333"/>
      <c r="AG48" s="290"/>
      <c r="AH48" s="290"/>
      <c r="AI48" s="282"/>
      <c r="AL48" s="39"/>
    </row>
    <row r="49" spans="1:38" ht="15" x14ac:dyDescent="0.25">
      <c r="A49" s="459" t="s">
        <v>99</v>
      </c>
      <c r="B49" s="439"/>
      <c r="C49" s="439"/>
      <c r="D49" s="439"/>
      <c r="E49" s="439"/>
      <c r="F49" s="439"/>
      <c r="G49" s="439"/>
      <c r="H49" s="439"/>
      <c r="I49" s="439"/>
      <c r="J49" s="95"/>
      <c r="K49" s="156"/>
      <c r="L49" s="167"/>
      <c r="M49" s="97"/>
      <c r="N49" s="97"/>
      <c r="R49" s="158"/>
      <c r="T49" s="39"/>
      <c r="U49" s="102"/>
      <c r="V49" s="333"/>
      <c r="W49" s="340"/>
      <c r="X49" s="192"/>
      <c r="Y49" s="102"/>
      <c r="Z49" s="39"/>
      <c r="AA49" s="39"/>
      <c r="AB49" s="39"/>
      <c r="AC49" s="333"/>
      <c r="AD49" s="100"/>
      <c r="AE49" s="333"/>
      <c r="AF49" s="333"/>
      <c r="AG49" s="290"/>
      <c r="AH49" s="290"/>
      <c r="AI49" s="282"/>
      <c r="AL49" s="39"/>
    </row>
    <row r="50" spans="1:38" ht="15.75" thickBot="1" x14ac:dyDescent="0.3">
      <c r="A50" s="46"/>
      <c r="B50" s="45"/>
      <c r="D50" s="45"/>
      <c r="E50" s="446" t="s">
        <v>75</v>
      </c>
      <c r="F50" s="447"/>
      <c r="G50" s="447"/>
      <c r="H50" s="448"/>
      <c r="I50" s="295"/>
      <c r="J50" s="295"/>
      <c r="K50" s="295"/>
      <c r="L50" s="295"/>
      <c r="M50" s="295"/>
      <c r="N50" s="97"/>
      <c r="O50" s="42"/>
      <c r="P50" s="156"/>
      <c r="R50" s="158"/>
      <c r="T50" s="39"/>
      <c r="U50" s="102"/>
      <c r="V50" s="333"/>
      <c r="W50" s="340"/>
      <c r="X50" s="192"/>
      <c r="Y50" s="102"/>
      <c r="Z50" s="39"/>
      <c r="AA50" s="39"/>
      <c r="AB50" s="333"/>
      <c r="AC50" s="333"/>
      <c r="AD50" s="100"/>
      <c r="AE50" s="333"/>
      <c r="AF50" s="333"/>
      <c r="AG50" s="290"/>
      <c r="AH50" s="290"/>
      <c r="AI50" s="282"/>
      <c r="AL50" s="39"/>
    </row>
    <row r="51" spans="1:38" ht="16.5" thickBot="1" x14ac:dyDescent="0.35">
      <c r="A51" s="444" t="s">
        <v>26</v>
      </c>
      <c r="B51" s="445"/>
      <c r="C51" s="445"/>
      <c r="D51" s="186"/>
      <c r="E51" s="449" t="s">
        <v>96</v>
      </c>
      <c r="F51" s="450"/>
      <c r="G51" s="450"/>
      <c r="H51" s="451"/>
      <c r="J51" s="317"/>
      <c r="K51" s="318"/>
      <c r="L51" s="319"/>
      <c r="M51" s="440" t="s">
        <v>89</v>
      </c>
      <c r="N51" s="441"/>
      <c r="O51" s="417"/>
      <c r="R51" s="158"/>
      <c r="T51" s="39"/>
      <c r="U51" s="102"/>
      <c r="V51" s="333"/>
      <c r="W51" s="340"/>
      <c r="X51" s="192"/>
      <c r="Y51" s="102"/>
      <c r="Z51" s="39"/>
      <c r="AA51" s="39"/>
      <c r="AB51" s="39"/>
      <c r="AC51" s="333"/>
      <c r="AD51" s="100"/>
      <c r="AE51" s="333"/>
      <c r="AF51" s="333"/>
      <c r="AG51" s="290"/>
      <c r="AH51" s="290"/>
      <c r="AI51" s="282"/>
      <c r="AL51" s="39"/>
    </row>
    <row r="52" spans="1:38" ht="15" x14ac:dyDescent="0.3">
      <c r="A52" s="215" t="s">
        <v>49</v>
      </c>
      <c r="B52" s="216" t="s">
        <v>70</v>
      </c>
      <c r="C52" s="234"/>
      <c r="D52" s="217" t="s">
        <v>71</v>
      </c>
      <c r="E52" s="206" t="s">
        <v>47</v>
      </c>
      <c r="F52" s="213" t="s">
        <v>97</v>
      </c>
      <c r="G52" s="213" t="s">
        <v>48</v>
      </c>
      <c r="H52" s="297" t="s">
        <v>13</v>
      </c>
      <c r="I52" s="310" t="s">
        <v>78</v>
      </c>
      <c r="J52" s="235" t="s">
        <v>42</v>
      </c>
      <c r="K52" s="236" t="s">
        <v>42</v>
      </c>
      <c r="L52" s="403" t="s">
        <v>87</v>
      </c>
      <c r="M52" s="344"/>
      <c r="N52" s="352"/>
      <c r="O52" s="345" t="s">
        <v>34</v>
      </c>
      <c r="R52" s="158"/>
      <c r="T52" s="39"/>
      <c r="U52" s="102"/>
      <c r="V52" s="333"/>
      <c r="W52" s="340"/>
      <c r="X52" s="192"/>
      <c r="Y52" s="102"/>
      <c r="Z52" s="39"/>
      <c r="AA52" s="39"/>
      <c r="AB52" s="333"/>
      <c r="AC52" s="333"/>
      <c r="AD52" s="100"/>
      <c r="AE52" s="280"/>
      <c r="AF52" s="39"/>
      <c r="AG52" s="190"/>
      <c r="AH52" s="190"/>
      <c r="AI52" s="282"/>
      <c r="AL52" s="39"/>
    </row>
    <row r="53" spans="1:38" ht="13.5" thickBot="1" x14ac:dyDescent="0.25">
      <c r="A53" s="208" t="s">
        <v>25</v>
      </c>
      <c r="B53" s="211" t="s">
        <v>69</v>
      </c>
      <c r="C53" s="212" t="s">
        <v>65</v>
      </c>
      <c r="D53" s="207" t="s">
        <v>45</v>
      </c>
      <c r="E53" s="208" t="s">
        <v>46</v>
      </c>
      <c r="F53" s="207" t="s">
        <v>0</v>
      </c>
      <c r="G53" s="207" t="s">
        <v>0</v>
      </c>
      <c r="H53" s="214" t="s">
        <v>21</v>
      </c>
      <c r="I53" s="302" t="s">
        <v>67</v>
      </c>
      <c r="J53" s="322" t="s">
        <v>43</v>
      </c>
      <c r="K53" s="321" t="s">
        <v>44</v>
      </c>
      <c r="L53" s="411" t="s">
        <v>67</v>
      </c>
      <c r="M53" s="429" t="s">
        <v>36</v>
      </c>
      <c r="N53" s="430"/>
      <c r="O53" s="354" t="s">
        <v>35</v>
      </c>
      <c r="R53" s="158"/>
      <c r="T53" s="39"/>
      <c r="U53" s="102"/>
      <c r="V53" s="333"/>
      <c r="W53" s="340"/>
      <c r="X53" s="192"/>
      <c r="Y53" s="102"/>
      <c r="Z53" s="39"/>
      <c r="AA53" s="39"/>
      <c r="AB53" s="333"/>
      <c r="AC53" s="333"/>
      <c r="AD53" s="100"/>
      <c r="AE53" s="333"/>
      <c r="AF53" s="333"/>
      <c r="AG53" s="290"/>
      <c r="AH53" s="290"/>
      <c r="AI53" s="282"/>
      <c r="AL53" s="39"/>
    </row>
    <row r="54" spans="1:38" x14ac:dyDescent="0.2">
      <c r="A54" s="328">
        <v>0</v>
      </c>
      <c r="B54" s="268">
        <v>33662.980173611111</v>
      </c>
      <c r="C54" s="269" t="s">
        <v>59</v>
      </c>
      <c r="D54" s="133">
        <f t="shared" ref="D54:D79" si="10">($B$54-B54)*24*60</f>
        <v>0</v>
      </c>
      <c r="E54" s="248"/>
      <c r="F54" s="129">
        <v>0</v>
      </c>
      <c r="G54" s="130">
        <f>F54-D54</f>
        <v>0</v>
      </c>
      <c r="H54" s="329">
        <f>4.412+0.1*(4.424-4.412)</f>
        <v>4.4131999999999998</v>
      </c>
      <c r="I54" s="232"/>
      <c r="J54" s="37"/>
      <c r="K54" s="309"/>
      <c r="L54" s="404"/>
      <c r="M54" s="344"/>
      <c r="N54" s="352"/>
      <c r="O54" s="346"/>
      <c r="R54" s="158"/>
      <c r="T54" s="39"/>
      <c r="U54" s="102"/>
      <c r="V54" s="333"/>
      <c r="W54" s="340"/>
      <c r="X54" s="192"/>
      <c r="Y54" s="102"/>
      <c r="Z54" s="39"/>
      <c r="AA54" s="39"/>
      <c r="AB54" s="333"/>
      <c r="AC54" s="333"/>
      <c r="AD54" s="100"/>
      <c r="AE54" s="333"/>
      <c r="AF54" s="333"/>
      <c r="AG54" s="290"/>
      <c r="AH54" s="290"/>
      <c r="AI54" s="282"/>
      <c r="AL54" s="39"/>
    </row>
    <row r="55" spans="1:38" x14ac:dyDescent="0.2">
      <c r="A55" s="128">
        <f t="shared" ref="A55:A81" si="11">-ROUND(D55/$D$22,0)</f>
        <v>-1</v>
      </c>
      <c r="B55" s="93">
        <v>33661.210277777776</v>
      </c>
      <c r="C55" s="132" t="s">
        <v>50</v>
      </c>
      <c r="D55" s="133">
        <f t="shared" si="10"/>
        <v>2548.6500000022352</v>
      </c>
      <c r="E55" s="129">
        <f t="shared" ref="E55:E81" si="12">-(D55-D54)/(A55-A54)</f>
        <v>2548.6500000022352</v>
      </c>
      <c r="F55" s="129">
        <f t="shared" ref="F55:F81" si="13">$D$82*($A$54-A55)</f>
        <v>2548.59</v>
      </c>
      <c r="G55" s="130">
        <f>F55-D55</f>
        <v>-6.000000223502866E-2</v>
      </c>
      <c r="H55" s="26">
        <f>4.412+0.1*(4.431-4.412)</f>
        <v>4.4138999999999999</v>
      </c>
      <c r="I55" s="294"/>
      <c r="J55" s="142"/>
      <c r="K55" s="142"/>
      <c r="L55" s="404"/>
      <c r="M55" s="415">
        <f>E55+0.05</f>
        <v>2548.7000000022354</v>
      </c>
      <c r="N55" s="355">
        <f>E55-0.05</f>
        <v>2548.600000002235</v>
      </c>
      <c r="O55" s="348">
        <f t="shared" ref="O55:O67" si="14">(A54+A55)/2</f>
        <v>-0.5</v>
      </c>
      <c r="R55" s="158"/>
      <c r="T55" s="39"/>
      <c r="U55" s="102"/>
      <c r="V55" s="333"/>
      <c r="W55" s="340"/>
      <c r="X55" s="192"/>
      <c r="Y55" s="102"/>
      <c r="Z55" s="39"/>
      <c r="AA55" s="39"/>
      <c r="AB55" s="333"/>
      <c r="AC55" s="333"/>
      <c r="AD55" s="100"/>
      <c r="AE55" s="333"/>
      <c r="AF55" s="333"/>
      <c r="AG55" s="290"/>
      <c r="AH55" s="290"/>
      <c r="AI55" s="282"/>
      <c r="AL55" s="39"/>
    </row>
    <row r="56" spans="1:38" x14ac:dyDescent="0.2">
      <c r="A56" s="128">
        <f t="shared" si="11"/>
        <v>-4</v>
      </c>
      <c r="B56" s="93">
        <v>33655.900763888887</v>
      </c>
      <c r="C56" s="132" t="s">
        <v>60</v>
      </c>
      <c r="D56" s="133">
        <f t="shared" si="10"/>
        <v>10194.350000002887</v>
      </c>
      <c r="E56" s="129">
        <f t="shared" si="12"/>
        <v>2548.566666666884</v>
      </c>
      <c r="F56" s="129">
        <f t="shared" si="13"/>
        <v>10194.36</v>
      </c>
      <c r="G56" s="130">
        <f t="shared" ref="G56:G81" si="15">F56-D56</f>
        <v>9.9999971134820953E-3</v>
      </c>
      <c r="H56" s="26">
        <f>4.412+0.6*(4.431-4.412)</f>
        <v>4.4234</v>
      </c>
      <c r="I56" s="294"/>
      <c r="J56" s="142"/>
      <c r="K56" s="142"/>
      <c r="L56" s="404"/>
      <c r="M56" s="415">
        <f>E56+0.033</f>
        <v>2548.5996666668839</v>
      </c>
      <c r="N56" s="355">
        <f>E56-0.033</f>
        <v>2548.5336666668841</v>
      </c>
      <c r="O56" s="348">
        <f t="shared" si="14"/>
        <v>-2.5</v>
      </c>
      <c r="R56" s="158"/>
      <c r="T56" s="39"/>
      <c r="U56" s="102"/>
      <c r="V56" s="333"/>
      <c r="W56" s="340"/>
      <c r="X56" s="192"/>
      <c r="Y56" s="102"/>
      <c r="Z56" s="39"/>
      <c r="AA56" s="39"/>
      <c r="AB56" s="333"/>
      <c r="AC56" s="333"/>
      <c r="AD56" s="100"/>
      <c r="AE56" s="333"/>
      <c r="AF56" s="333"/>
      <c r="AG56" s="290"/>
      <c r="AH56" s="290"/>
      <c r="AI56" s="282"/>
      <c r="AL56" s="39"/>
    </row>
    <row r="57" spans="1:38" x14ac:dyDescent="0.2">
      <c r="A57" s="128">
        <f t="shared" si="11"/>
        <v>-5</v>
      </c>
      <c r="B57" s="93">
        <v>33654.130902777775</v>
      </c>
      <c r="C57" s="132" t="s">
        <v>61</v>
      </c>
      <c r="D57" s="133">
        <f t="shared" si="10"/>
        <v>12742.950000003912</v>
      </c>
      <c r="E57" s="129">
        <f t="shared" si="12"/>
        <v>2548.6000000010245</v>
      </c>
      <c r="F57" s="129">
        <f t="shared" si="13"/>
        <v>12742.95</v>
      </c>
      <c r="G57" s="130">
        <f t="shared" si="15"/>
        <v>-3.9108272176235914E-9</v>
      </c>
      <c r="H57" s="26">
        <f>4.412+0.8*(4.431-4.412)</f>
        <v>4.4272</v>
      </c>
      <c r="I57" s="294"/>
      <c r="J57" s="142"/>
      <c r="K57" s="142"/>
      <c r="L57" s="405"/>
      <c r="M57" s="415">
        <f>E57+0.1</f>
        <v>2548.7000000010244</v>
      </c>
      <c r="N57" s="355">
        <f>E57-0.1</f>
        <v>2548.5000000010245</v>
      </c>
      <c r="O57" s="348">
        <f t="shared" si="14"/>
        <v>-4.5</v>
      </c>
      <c r="R57" s="158"/>
      <c r="T57" s="39"/>
      <c r="U57" s="102"/>
      <c r="V57" s="333"/>
      <c r="W57" s="340"/>
      <c r="X57" s="192"/>
      <c r="Y57" s="102"/>
      <c r="Z57" s="39"/>
      <c r="AA57" s="39"/>
      <c r="AB57" s="39"/>
      <c r="AC57" s="119"/>
      <c r="AD57" s="100"/>
      <c r="AE57" s="280"/>
      <c r="AF57" s="39"/>
      <c r="AG57" s="190"/>
      <c r="AH57" s="190"/>
      <c r="AI57" s="282"/>
      <c r="AL57" s="39"/>
    </row>
    <row r="58" spans="1:38" x14ac:dyDescent="0.2">
      <c r="A58" s="128">
        <f t="shared" si="11"/>
        <v>-8</v>
      </c>
      <c r="B58" s="93">
        <v>33648.821458333332</v>
      </c>
      <c r="C58" s="132" t="s">
        <v>55</v>
      </c>
      <c r="D58" s="133">
        <f t="shared" si="10"/>
        <v>20388.550000002142</v>
      </c>
      <c r="E58" s="129">
        <f t="shared" si="12"/>
        <v>2548.5333333327435</v>
      </c>
      <c r="F58" s="129">
        <f t="shared" si="13"/>
        <v>20388.72</v>
      </c>
      <c r="G58" s="130">
        <f t="shared" si="15"/>
        <v>0.16999999785912223</v>
      </c>
      <c r="H58" s="26">
        <f>4.431+0.3*(4.481-4.431)</f>
        <v>4.4459999999999997</v>
      </c>
      <c r="I58" s="294"/>
      <c r="J58" s="142"/>
      <c r="K58" s="142"/>
      <c r="L58" s="406"/>
      <c r="M58" s="415">
        <f>E58+0.033</f>
        <v>2548.5663333327434</v>
      </c>
      <c r="N58" s="355">
        <f>E58-0.033</f>
        <v>2548.5003333327436</v>
      </c>
      <c r="O58" s="348">
        <f t="shared" si="14"/>
        <v>-6.5</v>
      </c>
      <c r="R58" s="158"/>
      <c r="T58" s="39"/>
      <c r="U58" s="102"/>
      <c r="V58" s="333"/>
      <c r="W58" s="340"/>
      <c r="X58" s="192"/>
      <c r="Y58" s="102"/>
      <c r="Z58" s="39"/>
      <c r="AA58" s="39"/>
      <c r="AB58" s="333"/>
      <c r="AC58" s="333"/>
      <c r="AD58" s="100"/>
      <c r="AE58" s="333"/>
      <c r="AF58" s="333"/>
      <c r="AG58" s="290"/>
      <c r="AH58" s="290"/>
      <c r="AI58" s="282"/>
      <c r="AL58" s="39"/>
    </row>
    <row r="59" spans="1:38" x14ac:dyDescent="0.2">
      <c r="A59" s="128">
        <f t="shared" si="11"/>
        <v>-9</v>
      </c>
      <c r="B59" s="93">
        <v>33647.051666666666</v>
      </c>
      <c r="C59" s="132" t="s">
        <v>53</v>
      </c>
      <c r="D59" s="133">
        <f t="shared" si="10"/>
        <v>22937.050000000745</v>
      </c>
      <c r="E59" s="129">
        <f t="shared" si="12"/>
        <v>2548.499999998603</v>
      </c>
      <c r="F59" s="129">
        <f t="shared" si="13"/>
        <v>22937.31</v>
      </c>
      <c r="G59" s="130">
        <f t="shared" si="15"/>
        <v>0.25999999925625161</v>
      </c>
      <c r="H59" s="26">
        <f>4.431+0.5*(4.481-4.431)</f>
        <v>4.4559999999999995</v>
      </c>
      <c r="I59" s="294">
        <f>(H59-$H$54)*149597870000/(G59*60)</f>
        <v>410435182.96894801</v>
      </c>
      <c r="J59" s="142">
        <f>I59-L59</f>
        <v>110501779.17212069</v>
      </c>
      <c r="K59" s="142">
        <f>I59+L59</f>
        <v>710368586.76577532</v>
      </c>
      <c r="L59" s="406">
        <f t="shared" ref="L59:L81" si="16">I59*(0.1-A59*0.01)/G59</f>
        <v>299933403.79682732</v>
      </c>
      <c r="M59" s="415">
        <f>E59+0.1</f>
        <v>2548.5999999986029</v>
      </c>
      <c r="N59" s="355">
        <f>E59-0.1</f>
        <v>2548.3999999986031</v>
      </c>
      <c r="O59" s="348">
        <f t="shared" si="14"/>
        <v>-8.5</v>
      </c>
      <c r="R59" s="158"/>
      <c r="T59" s="39"/>
      <c r="U59" s="102"/>
      <c r="V59" s="333"/>
      <c r="W59" s="340"/>
      <c r="X59" s="192"/>
      <c r="Y59" s="102"/>
      <c r="Z59" s="39"/>
      <c r="AA59" s="39"/>
      <c r="AB59" s="333"/>
      <c r="AC59" s="333"/>
      <c r="AD59" s="100"/>
      <c r="AE59" s="333"/>
      <c r="AF59" s="333"/>
      <c r="AG59" s="290"/>
      <c r="AH59" s="290"/>
      <c r="AI59" s="282"/>
      <c r="AL59" s="39"/>
    </row>
    <row r="60" spans="1:38" x14ac:dyDescent="0.2">
      <c r="A60" s="128">
        <f t="shared" si="11"/>
        <v>-13</v>
      </c>
      <c r="B60" s="93">
        <v>33639.972500000003</v>
      </c>
      <c r="C60" s="132" t="s">
        <v>53</v>
      </c>
      <c r="D60" s="133">
        <f t="shared" si="10"/>
        <v>33131.049999995157</v>
      </c>
      <c r="E60" s="129">
        <f t="shared" si="12"/>
        <v>2548.499999998603</v>
      </c>
      <c r="F60" s="129">
        <f t="shared" si="13"/>
        <v>33131.67</v>
      </c>
      <c r="G60" s="130">
        <f t="shared" si="15"/>
        <v>0.62000000484113116</v>
      </c>
      <c r="H60" s="26">
        <f>4.481+0.2*(4.559-4.481)</f>
        <v>4.4965999999999999</v>
      </c>
      <c r="I60" s="294">
        <f t="shared" ref="I60:I81" si="17">(H60-$H$54)*149597870000/(G60*60)</f>
        <v>335388770.44570857</v>
      </c>
      <c r="J60" s="142">
        <f>I60-L60</f>
        <v>210970356.57443902</v>
      </c>
      <c r="K60" s="142">
        <f>I60+L60</f>
        <v>459807184.3169781</v>
      </c>
      <c r="L60" s="406">
        <f t="shared" si="16"/>
        <v>124418413.87126955</v>
      </c>
      <c r="M60" s="415">
        <f>E60+0.025</f>
        <v>2548.5249999986031</v>
      </c>
      <c r="N60" s="355">
        <f>E60-0.025</f>
        <v>2548.4749999986029</v>
      </c>
      <c r="O60" s="348">
        <f t="shared" si="14"/>
        <v>-11</v>
      </c>
      <c r="R60" s="158"/>
      <c r="T60" s="39"/>
      <c r="U60" s="102"/>
      <c r="V60" s="333"/>
      <c r="W60" s="340"/>
      <c r="X60" s="192"/>
      <c r="Y60" s="102"/>
      <c r="Z60" s="39"/>
      <c r="AA60" s="39"/>
      <c r="AB60" s="333"/>
      <c r="AC60" s="333"/>
      <c r="AD60" s="100"/>
      <c r="AE60" s="280"/>
      <c r="AF60" s="39"/>
      <c r="AG60" s="190"/>
      <c r="AH60" s="190"/>
      <c r="AI60" s="282"/>
      <c r="AL60" s="39"/>
    </row>
    <row r="61" spans="1:38" x14ac:dyDescent="0.2">
      <c r="A61" s="128">
        <f t="shared" si="11"/>
        <v>-14</v>
      </c>
      <c r="B61" s="93">
        <v>33638.202708333331</v>
      </c>
      <c r="C61" s="132" t="s">
        <v>55</v>
      </c>
      <c r="D61" s="133">
        <f t="shared" si="10"/>
        <v>35679.550000004238</v>
      </c>
      <c r="E61" s="129">
        <f t="shared" si="12"/>
        <v>2548.5000000090804</v>
      </c>
      <c r="F61" s="129">
        <f t="shared" si="13"/>
        <v>35680.26</v>
      </c>
      <c r="G61" s="130">
        <f t="shared" si="15"/>
        <v>0.70999999576451955</v>
      </c>
      <c r="H61" s="26">
        <f>4.481+0.4*(4.559-4.481)</f>
        <v>4.5122</v>
      </c>
      <c r="I61" s="294">
        <f t="shared" si="17"/>
        <v>347657023.9049226</v>
      </c>
      <c r="J61" s="142">
        <f t="shared" ref="J61:J81" si="18">I61-L61</f>
        <v>230139155.96840703</v>
      </c>
      <c r="K61" s="142">
        <f t="shared" ref="K61:K81" si="19">I61+L61</f>
        <v>465174891.84143817</v>
      </c>
      <c r="L61" s="406">
        <f t="shared" si="16"/>
        <v>117517867.93651557</v>
      </c>
      <c r="M61" s="415">
        <f>E61+0.1</f>
        <v>2548.6000000090803</v>
      </c>
      <c r="N61" s="355">
        <f>E61-0.1</f>
        <v>2548.4000000090805</v>
      </c>
      <c r="O61" s="348">
        <f t="shared" si="14"/>
        <v>-13.5</v>
      </c>
      <c r="R61" s="158"/>
      <c r="T61" s="39"/>
      <c r="U61" s="102"/>
      <c r="V61" s="333"/>
      <c r="W61" s="340"/>
      <c r="X61" s="192"/>
      <c r="Y61" s="102"/>
      <c r="Z61" s="39"/>
      <c r="AA61" s="39"/>
      <c r="AB61" s="333"/>
      <c r="AC61" s="333"/>
      <c r="AD61" s="333"/>
      <c r="AE61" s="291"/>
      <c r="AF61" s="333"/>
      <c r="AG61" s="333"/>
      <c r="AH61" s="333"/>
      <c r="AI61" s="333"/>
      <c r="AJ61" s="90"/>
    </row>
    <row r="62" spans="1:38" x14ac:dyDescent="0.2">
      <c r="A62" s="128">
        <f t="shared" si="11"/>
        <v>-17</v>
      </c>
      <c r="B62" s="93">
        <v>33632.89340277778</v>
      </c>
      <c r="C62" s="132" t="s">
        <v>61</v>
      </c>
      <c r="D62" s="133">
        <f t="shared" si="10"/>
        <v>43324.949999997625</v>
      </c>
      <c r="E62" s="129">
        <f t="shared" si="12"/>
        <v>2548.4666666644625</v>
      </c>
      <c r="F62" s="129">
        <f t="shared" si="13"/>
        <v>43326.03</v>
      </c>
      <c r="G62" s="130">
        <f t="shared" si="15"/>
        <v>1.0800000023737084</v>
      </c>
      <c r="H62" s="26">
        <f>4.481+0.9*(4.559-4.481)</f>
        <v>4.5511999999999997</v>
      </c>
      <c r="I62" s="294">
        <f t="shared" si="17"/>
        <v>318588055.78126353</v>
      </c>
      <c r="J62" s="142">
        <f t="shared" si="18"/>
        <v>238941042.01100206</v>
      </c>
      <c r="K62" s="142">
        <f t="shared" si="19"/>
        <v>398235069.551525</v>
      </c>
      <c r="L62" s="406">
        <f t="shared" si="16"/>
        <v>79647013.770261452</v>
      </c>
      <c r="M62" s="415">
        <f>E62+0.033</f>
        <v>2548.4996666644624</v>
      </c>
      <c r="N62" s="355">
        <f>E62-0.033</f>
        <v>2548.4336666644626</v>
      </c>
      <c r="O62" s="348">
        <f t="shared" si="14"/>
        <v>-15.5</v>
      </c>
      <c r="R62" s="158"/>
      <c r="T62" s="39"/>
      <c r="U62" s="102"/>
      <c r="V62" s="333"/>
      <c r="W62" s="340"/>
      <c r="X62" s="192"/>
      <c r="Y62" s="102"/>
      <c r="Z62" s="39"/>
      <c r="AA62" s="39"/>
      <c r="AB62" s="39"/>
      <c r="AC62" s="333"/>
      <c r="AD62" s="333"/>
      <c r="AE62" s="333"/>
      <c r="AF62" s="333"/>
      <c r="AG62" s="333"/>
      <c r="AH62" s="333"/>
      <c r="AI62" s="333"/>
    </row>
    <row r="63" spans="1:38" x14ac:dyDescent="0.2">
      <c r="A63" s="128">
        <f t="shared" si="11"/>
        <v>-18</v>
      </c>
      <c r="B63" s="93">
        <v>33631.123680555553</v>
      </c>
      <c r="C63" s="132" t="s">
        <v>62</v>
      </c>
      <c r="D63" s="133">
        <f t="shared" si="10"/>
        <v>45873.350000004284</v>
      </c>
      <c r="E63" s="129">
        <f t="shared" si="12"/>
        <v>2548.400000006659</v>
      </c>
      <c r="F63" s="129">
        <f t="shared" si="13"/>
        <v>45874.62</v>
      </c>
      <c r="G63" s="130">
        <f t="shared" si="15"/>
        <v>1.2699999957185355</v>
      </c>
      <c r="H63" s="26">
        <f>4.559+0.1*(4.662-4.559)</f>
        <v>4.5693000000000001</v>
      </c>
      <c r="I63" s="294">
        <f t="shared" si="17"/>
        <v>306459679.60270113</v>
      </c>
      <c r="J63" s="142">
        <f t="shared" si="18"/>
        <v>238893765.7617268</v>
      </c>
      <c r="K63" s="142">
        <f t="shared" si="19"/>
        <v>374025593.44367546</v>
      </c>
      <c r="L63" s="406">
        <f t="shared" si="16"/>
        <v>67565913.840974316</v>
      </c>
      <c r="M63" s="415">
        <f>E63+0.1</f>
        <v>2548.5000000066589</v>
      </c>
      <c r="N63" s="355">
        <f>E63-0.1</f>
        <v>2548.300000006659</v>
      </c>
      <c r="O63" s="348">
        <f t="shared" si="14"/>
        <v>-17.5</v>
      </c>
      <c r="R63" s="158"/>
      <c r="T63" s="39"/>
      <c r="U63" s="102"/>
      <c r="V63" s="333"/>
      <c r="W63" s="340"/>
      <c r="X63" s="192"/>
      <c r="Y63" s="102"/>
      <c r="Z63" s="39"/>
      <c r="AA63" s="39"/>
      <c r="AB63" s="333"/>
      <c r="AC63" s="333"/>
      <c r="AD63" s="333"/>
      <c r="AE63" s="333"/>
      <c r="AF63" s="333"/>
      <c r="AG63" s="333"/>
      <c r="AH63" s="333"/>
      <c r="AI63" s="333"/>
    </row>
    <row r="64" spans="1:38" x14ac:dyDescent="0.2">
      <c r="A64" s="128">
        <f t="shared" si="11"/>
        <v>-22</v>
      </c>
      <c r="B64" s="93">
        <v>33624.044722222221</v>
      </c>
      <c r="C64" s="132" t="s">
        <v>53</v>
      </c>
      <c r="D64" s="133">
        <f t="shared" si="10"/>
        <v>56067.050000001909</v>
      </c>
      <c r="E64" s="129">
        <f t="shared" si="12"/>
        <v>2548.4249999994063</v>
      </c>
      <c r="F64" s="129">
        <f t="shared" si="13"/>
        <v>56068.98</v>
      </c>
      <c r="G64" s="130">
        <f t="shared" si="15"/>
        <v>1.9299999980939901</v>
      </c>
      <c r="H64" s="26">
        <f>4.559+0.8*(4.662-4.559)</f>
        <v>4.6414</v>
      </c>
      <c r="I64" s="294">
        <f t="shared" si="17"/>
        <v>294803402.139153</v>
      </c>
      <c r="J64" s="142">
        <f t="shared" si="18"/>
        <v>245924081.52894914</v>
      </c>
      <c r="K64" s="142">
        <f t="shared" si="19"/>
        <v>343682722.74935687</v>
      </c>
      <c r="L64" s="406">
        <f t="shared" si="16"/>
        <v>48879320.610203847</v>
      </c>
      <c r="M64" s="415">
        <f>E64+0.025</f>
        <v>2548.4499999994064</v>
      </c>
      <c r="N64" s="355">
        <f>E64-0.025</f>
        <v>2548.3999999994062</v>
      </c>
      <c r="O64" s="348">
        <f t="shared" si="14"/>
        <v>-20</v>
      </c>
      <c r="R64" s="158"/>
      <c r="T64" s="39"/>
      <c r="U64" s="102"/>
      <c r="V64" s="333"/>
      <c r="W64" s="340"/>
      <c r="X64" s="192"/>
      <c r="Y64" s="102"/>
      <c r="Z64" s="39"/>
      <c r="AA64" s="39"/>
      <c r="AB64" s="333"/>
      <c r="AC64" s="333"/>
      <c r="AD64" s="333"/>
      <c r="AE64" s="333"/>
      <c r="AF64" s="333"/>
      <c r="AG64" s="333"/>
      <c r="AH64" s="333"/>
      <c r="AI64" s="333"/>
    </row>
    <row r="65" spans="1:35" x14ac:dyDescent="0.2">
      <c r="A65" s="128">
        <f t="shared" si="11"/>
        <v>-23</v>
      </c>
      <c r="B65" s="93">
        <v>33622.275000000001</v>
      </c>
      <c r="C65" s="132" t="s">
        <v>63</v>
      </c>
      <c r="D65" s="133">
        <f t="shared" si="10"/>
        <v>58615.449999998091</v>
      </c>
      <c r="E65" s="129">
        <f t="shared" si="12"/>
        <v>2548.3999999961816</v>
      </c>
      <c r="F65" s="129">
        <f t="shared" si="13"/>
        <v>58617.570000000007</v>
      </c>
      <c r="G65" s="130">
        <f t="shared" si="15"/>
        <v>2.1200000019161962</v>
      </c>
      <c r="H65" s="26">
        <v>4.6619999999999999</v>
      </c>
      <c r="I65" s="294">
        <f t="shared" si="17"/>
        <v>292609669.98709255</v>
      </c>
      <c r="J65" s="142">
        <f t="shared" si="18"/>
        <v>247061938.37932739</v>
      </c>
      <c r="K65" s="142">
        <f t="shared" si="19"/>
        <v>338157401.59485769</v>
      </c>
      <c r="L65" s="406">
        <f t="shared" si="16"/>
        <v>45547731.607765168</v>
      </c>
      <c r="M65" s="415">
        <f>E65+0.1</f>
        <v>2548.4999999961815</v>
      </c>
      <c r="N65" s="355">
        <f>E65-0.1</f>
        <v>2548.2999999961817</v>
      </c>
      <c r="O65" s="348">
        <f t="shared" si="14"/>
        <v>-22.5</v>
      </c>
      <c r="R65" s="158"/>
      <c r="T65" s="39"/>
      <c r="U65" s="102"/>
      <c r="V65" s="333"/>
      <c r="W65" s="340"/>
      <c r="X65" s="192"/>
      <c r="Y65" s="102"/>
      <c r="Z65" s="39"/>
      <c r="AA65" s="39"/>
      <c r="AB65" s="333"/>
      <c r="AC65" s="333"/>
      <c r="AD65" s="333"/>
      <c r="AE65" s="333"/>
      <c r="AF65" s="333"/>
      <c r="AG65" s="333"/>
      <c r="AH65" s="333"/>
      <c r="AI65" s="333"/>
    </row>
    <row r="66" spans="1:35" x14ac:dyDescent="0.2">
      <c r="A66" s="128">
        <f t="shared" si="11"/>
        <v>-26</v>
      </c>
      <c r="B66" s="93">
        <v>33616.965833333335</v>
      </c>
      <c r="C66" s="132" t="s">
        <v>50</v>
      </c>
      <c r="D66" s="133">
        <f t="shared" si="10"/>
        <v>66260.649999997113</v>
      </c>
      <c r="E66" s="129">
        <f t="shared" si="12"/>
        <v>2548.399999999674</v>
      </c>
      <c r="F66" s="129">
        <f t="shared" si="13"/>
        <v>66263.34</v>
      </c>
      <c r="G66" s="130">
        <f t="shared" si="15"/>
        <v>2.6900000028836075</v>
      </c>
      <c r="H66" s="26">
        <f>4.662+0.5*(4.786-4.662)</f>
        <v>4.7240000000000002</v>
      </c>
      <c r="I66" s="294">
        <f t="shared" si="17"/>
        <v>288073221.47558028</v>
      </c>
      <c r="J66" s="142">
        <f t="shared" si="18"/>
        <v>249520671.4309563</v>
      </c>
      <c r="K66" s="142">
        <f t="shared" si="19"/>
        <v>326625771.52020425</v>
      </c>
      <c r="L66" s="406">
        <f t="shared" si="16"/>
        <v>38552550.044623964</v>
      </c>
      <c r="M66" s="415">
        <f>E66+0.033</f>
        <v>2548.4329999996739</v>
      </c>
      <c r="N66" s="355">
        <f>E66-0.033</f>
        <v>2548.3669999996741</v>
      </c>
      <c r="O66" s="348">
        <f t="shared" si="14"/>
        <v>-24.5</v>
      </c>
      <c r="R66" s="158"/>
      <c r="T66" s="39"/>
      <c r="U66" s="102"/>
      <c r="V66" s="333"/>
      <c r="W66" s="340"/>
      <c r="X66" s="192"/>
      <c r="Y66" s="102"/>
      <c r="Z66" s="39"/>
      <c r="AA66" s="39"/>
      <c r="AB66" s="333"/>
      <c r="AC66" s="333"/>
      <c r="AD66" s="333"/>
      <c r="AE66" s="333"/>
      <c r="AF66" s="333"/>
      <c r="AG66" s="333"/>
      <c r="AH66" s="333"/>
      <c r="AI66" s="333"/>
    </row>
    <row r="67" spans="1:35" x14ac:dyDescent="0.2">
      <c r="A67" s="128">
        <f t="shared" si="11"/>
        <v>-27</v>
      </c>
      <c r="B67" s="93">
        <v>33615.196111111109</v>
      </c>
      <c r="C67" s="132" t="s">
        <v>53</v>
      </c>
      <c r="D67" s="133">
        <f t="shared" si="10"/>
        <v>68809.050000003772</v>
      </c>
      <c r="E67" s="129">
        <f t="shared" si="12"/>
        <v>2548.400000006659</v>
      </c>
      <c r="F67" s="129">
        <f t="shared" si="13"/>
        <v>68811.930000000008</v>
      </c>
      <c r="G67" s="130">
        <f t="shared" si="15"/>
        <v>2.8799999962357106</v>
      </c>
      <c r="H67" s="26">
        <f>4.662+0.7*(4.786-4.662)</f>
        <v>4.7487999999999992</v>
      </c>
      <c r="I67" s="294">
        <f t="shared" si="17"/>
        <v>290538456.23622781</v>
      </c>
      <c r="J67" s="142">
        <f t="shared" si="18"/>
        <v>253212335.07375884</v>
      </c>
      <c r="K67" s="142">
        <f t="shared" si="19"/>
        <v>327864577.39869678</v>
      </c>
      <c r="L67" s="406">
        <f t="shared" si="16"/>
        <v>37326121.162468962</v>
      </c>
      <c r="M67" s="415">
        <f>E67+0.1</f>
        <v>2548.5000000066589</v>
      </c>
      <c r="N67" s="355">
        <f>E67-0.1</f>
        <v>2548.300000006659</v>
      </c>
      <c r="O67" s="348">
        <f t="shared" si="14"/>
        <v>-26.5</v>
      </c>
      <c r="R67" s="158"/>
      <c r="T67" s="39"/>
      <c r="U67" s="102"/>
      <c r="V67" s="333"/>
      <c r="W67" s="340"/>
      <c r="X67" s="192"/>
      <c r="Y67" s="102"/>
      <c r="Z67" s="39"/>
      <c r="AA67" s="39"/>
      <c r="AB67" s="39"/>
      <c r="AC67" s="119"/>
      <c r="AD67" s="333"/>
      <c r="AE67" s="333"/>
      <c r="AF67" s="333"/>
      <c r="AG67" s="333"/>
      <c r="AH67" s="333"/>
      <c r="AI67" s="333"/>
    </row>
    <row r="68" spans="1:35" x14ac:dyDescent="0.2">
      <c r="A68" s="128">
        <f t="shared" si="11"/>
        <v>-31</v>
      </c>
      <c r="B68" s="93">
        <v>33608.117361111108</v>
      </c>
      <c r="C68" s="132" t="s">
        <v>63</v>
      </c>
      <c r="D68" s="133">
        <f t="shared" si="10"/>
        <v>79002.45000000461</v>
      </c>
      <c r="E68" s="129">
        <f t="shared" si="12"/>
        <v>2548.3500000002095</v>
      </c>
      <c r="F68" s="129">
        <f t="shared" si="13"/>
        <v>79006.290000000008</v>
      </c>
      <c r="G68" s="129">
        <f t="shared" si="15"/>
        <v>3.8399999953981023</v>
      </c>
      <c r="H68" s="128">
        <f>4.786+0.4*(4.926-4.786)</f>
        <v>4.8419999999999996</v>
      </c>
      <c r="I68" s="294">
        <f t="shared" si="17"/>
        <v>278418258.38921493</v>
      </c>
      <c r="J68" s="142">
        <f t="shared" si="18"/>
        <v>248691308.89015803</v>
      </c>
      <c r="K68" s="142">
        <f t="shared" si="19"/>
        <v>308145207.88827181</v>
      </c>
      <c r="L68" s="406">
        <f t="shared" si="16"/>
        <v>29726949.499056906</v>
      </c>
      <c r="M68" s="347"/>
      <c r="N68" s="267"/>
      <c r="O68" s="348"/>
      <c r="R68" s="158"/>
      <c r="T68" s="39"/>
      <c r="U68" s="102"/>
      <c r="V68" s="333"/>
      <c r="W68" s="340"/>
      <c r="X68" s="192"/>
      <c r="Y68" s="102"/>
      <c r="Z68" s="39"/>
      <c r="AA68" s="39"/>
      <c r="AB68" s="333"/>
      <c r="AC68" s="333"/>
      <c r="AD68" s="333"/>
      <c r="AE68" s="333"/>
      <c r="AF68" s="333"/>
      <c r="AG68" s="333"/>
      <c r="AH68" s="333"/>
      <c r="AI68" s="333"/>
    </row>
    <row r="69" spans="1:35" x14ac:dyDescent="0.2">
      <c r="A69" s="328">
        <f t="shared" si="11"/>
        <v>-35</v>
      </c>
      <c r="B69" s="93">
        <v>33601.038611111115</v>
      </c>
      <c r="C69" s="132" t="s">
        <v>58</v>
      </c>
      <c r="D69" s="133">
        <f t="shared" si="10"/>
        <v>89195.849999994971</v>
      </c>
      <c r="E69" s="129">
        <f t="shared" si="12"/>
        <v>2548.3499999975902</v>
      </c>
      <c r="F69" s="129">
        <f t="shared" si="13"/>
        <v>89200.650000000009</v>
      </c>
      <c r="G69" s="129">
        <f t="shared" si="15"/>
        <v>4.8000000050378731</v>
      </c>
      <c r="H69" s="328">
        <f>4.926+0.1*(5.076-4.926)</f>
        <v>4.9409999999999998</v>
      </c>
      <c r="I69" s="294">
        <f t="shared" si="17"/>
        <v>274158873.96919912</v>
      </c>
      <c r="J69" s="142">
        <f t="shared" si="18"/>
        <v>248456479.56156284</v>
      </c>
      <c r="K69" s="142">
        <f t="shared" si="19"/>
        <v>299861268.37683541</v>
      </c>
      <c r="L69" s="406">
        <f t="shared" si="16"/>
        <v>25702394.407636296</v>
      </c>
      <c r="M69" s="347"/>
      <c r="N69" s="267"/>
      <c r="O69" s="348"/>
      <c r="R69" s="158"/>
      <c r="T69" s="39"/>
      <c r="U69" s="102"/>
      <c r="V69" s="333"/>
      <c r="W69" s="340"/>
      <c r="X69" s="192"/>
      <c r="Y69" s="102"/>
      <c r="Z69" s="39"/>
      <c r="AA69" s="39"/>
      <c r="AB69" s="39"/>
      <c r="AC69" s="333"/>
      <c r="AD69" s="333"/>
      <c r="AE69" s="333"/>
      <c r="AF69" s="333"/>
      <c r="AG69" s="333"/>
      <c r="AH69" s="333"/>
      <c r="AI69" s="333"/>
    </row>
    <row r="70" spans="1:35" x14ac:dyDescent="0.2">
      <c r="A70" s="27">
        <f t="shared" si="11"/>
        <v>-36</v>
      </c>
      <c r="B70" s="93">
        <v>33599.268958333334</v>
      </c>
      <c r="C70" s="132" t="s">
        <v>51</v>
      </c>
      <c r="D70" s="133">
        <f t="shared" si="10"/>
        <v>91744.149999999208</v>
      </c>
      <c r="E70" s="129">
        <f t="shared" si="12"/>
        <v>2548.3000000042375</v>
      </c>
      <c r="F70" s="129">
        <f t="shared" si="13"/>
        <v>91749.24</v>
      </c>
      <c r="G70" s="129">
        <f t="shared" si="15"/>
        <v>5.0900000007968629</v>
      </c>
      <c r="H70" s="128">
        <f>4.926+0.3*(5.076-4.926)</f>
        <v>4.9710000000000001</v>
      </c>
      <c r="I70" s="294">
        <f t="shared" si="17"/>
        <v>273234092.57673949</v>
      </c>
      <c r="J70" s="142">
        <f t="shared" si="18"/>
        <v>248541031.16895497</v>
      </c>
      <c r="K70" s="142">
        <f t="shared" si="19"/>
        <v>297927153.98452401</v>
      </c>
      <c r="L70" s="406">
        <f t="shared" si="16"/>
        <v>24693061.407784514</v>
      </c>
      <c r="M70" s="347"/>
      <c r="N70" s="267"/>
      <c r="O70" s="348"/>
      <c r="R70" s="158"/>
      <c r="T70" s="39"/>
      <c r="U70" s="102"/>
      <c r="V70" s="333"/>
      <c r="W70" s="340"/>
      <c r="X70" s="192"/>
      <c r="Y70" s="102"/>
      <c r="Z70" s="39"/>
      <c r="AA70" s="39"/>
      <c r="AB70" s="333"/>
      <c r="AC70" s="333"/>
      <c r="AD70" s="333"/>
      <c r="AE70" s="333"/>
      <c r="AF70" s="333"/>
      <c r="AG70" s="333"/>
      <c r="AH70" s="333"/>
      <c r="AI70" s="333"/>
    </row>
    <row r="71" spans="1:35" x14ac:dyDescent="0.2">
      <c r="A71" s="27">
        <f t="shared" si="11"/>
        <v>-39</v>
      </c>
      <c r="B71" s="93">
        <v>33593.959930555553</v>
      </c>
      <c r="C71" s="132" t="s">
        <v>51</v>
      </c>
      <c r="D71" s="133">
        <f t="shared" si="10"/>
        <v>99389.150000003865</v>
      </c>
      <c r="E71" s="129">
        <f t="shared" si="12"/>
        <v>2548.3333333348855</v>
      </c>
      <c r="F71" s="129">
        <f t="shared" si="13"/>
        <v>99395.010000000009</v>
      </c>
      <c r="G71" s="129">
        <f t="shared" si="15"/>
        <v>5.8599999961443245</v>
      </c>
      <c r="H71" s="128">
        <f>4.926+0.8*(5.076-4.926)</f>
        <v>5.0459999999999994</v>
      </c>
      <c r="I71" s="294">
        <f t="shared" si="17"/>
        <v>269242127.98147482</v>
      </c>
      <c r="J71" s="142">
        <f t="shared" si="18"/>
        <v>246728707.70882514</v>
      </c>
      <c r="K71" s="142">
        <f t="shared" si="19"/>
        <v>291755548.25412452</v>
      </c>
      <c r="L71" s="406">
        <f t="shared" si="16"/>
        <v>22513420.272649676</v>
      </c>
      <c r="M71" s="347"/>
      <c r="N71" s="267"/>
      <c r="O71" s="348"/>
      <c r="R71" s="158"/>
      <c r="T71" s="39"/>
      <c r="U71" s="102"/>
      <c r="V71" s="333"/>
      <c r="W71" s="340"/>
      <c r="X71" s="192"/>
      <c r="Y71" s="102"/>
      <c r="Z71" s="39"/>
      <c r="AA71" s="39"/>
      <c r="AB71" s="39"/>
      <c r="AC71" s="333"/>
      <c r="AD71" s="333"/>
      <c r="AE71" s="333"/>
      <c r="AF71" s="333"/>
      <c r="AG71" s="333"/>
      <c r="AH71" s="333"/>
      <c r="AI71" s="333"/>
    </row>
    <row r="72" spans="1:35" x14ac:dyDescent="0.2">
      <c r="A72" s="27">
        <f t="shared" si="11"/>
        <v>-40</v>
      </c>
      <c r="B72" s="93">
        <v>33592.19027777778</v>
      </c>
      <c r="C72" s="132" t="s">
        <v>63</v>
      </c>
      <c r="D72" s="133">
        <f t="shared" si="10"/>
        <v>101937.44999999763</v>
      </c>
      <c r="E72" s="129">
        <f t="shared" si="12"/>
        <v>2548.2999999937601</v>
      </c>
      <c r="F72" s="129">
        <f t="shared" si="13"/>
        <v>101943.6</v>
      </c>
      <c r="G72" s="129">
        <f t="shared" si="15"/>
        <v>6.1500000023806933</v>
      </c>
      <c r="H72" s="128">
        <v>5.0759999999999996</v>
      </c>
      <c r="I72" s="294">
        <f t="shared" si="17"/>
        <v>268708585.90140164</v>
      </c>
      <c r="J72" s="142">
        <f t="shared" si="18"/>
        <v>246862359.41380951</v>
      </c>
      <c r="K72" s="142">
        <f t="shared" si="19"/>
        <v>290554812.3889938</v>
      </c>
      <c r="L72" s="406">
        <f t="shared" si="16"/>
        <v>21846226.487592138</v>
      </c>
      <c r="M72" s="347"/>
      <c r="N72" s="267"/>
      <c r="O72" s="348"/>
      <c r="Q72" s="97"/>
      <c r="R72" s="336"/>
      <c r="S72" s="192"/>
      <c r="T72" s="102"/>
      <c r="U72" s="39"/>
      <c r="V72" s="39"/>
      <c r="W72" s="39"/>
      <c r="X72" s="333"/>
      <c r="Y72" s="333"/>
      <c r="Z72" s="333"/>
      <c r="AA72" s="39"/>
      <c r="AB72" s="39"/>
      <c r="AC72" s="333"/>
      <c r="AD72" s="333"/>
      <c r="AE72" s="333"/>
      <c r="AF72" s="333"/>
      <c r="AG72" s="333"/>
      <c r="AH72" s="333"/>
      <c r="AI72" s="333"/>
    </row>
    <row r="73" spans="1:35" x14ac:dyDescent="0.2">
      <c r="A73" s="27">
        <f t="shared" si="11"/>
        <v>-44</v>
      </c>
      <c r="B73" s="93">
        <v>33585.111666666664</v>
      </c>
      <c r="C73" s="132" t="s">
        <v>50</v>
      </c>
      <c r="D73" s="133">
        <f t="shared" si="10"/>
        <v>112130.6500000041</v>
      </c>
      <c r="E73" s="129">
        <f t="shared" si="12"/>
        <v>2548.3000000016182</v>
      </c>
      <c r="F73" s="129">
        <f t="shared" si="13"/>
        <v>112137.96</v>
      </c>
      <c r="G73" s="129">
        <f t="shared" si="15"/>
        <v>7.3099999959085835</v>
      </c>
      <c r="H73" s="26">
        <f>5.076+0.7*(5.233-5.076)</f>
        <v>5.1858999999999993</v>
      </c>
      <c r="I73" s="294">
        <f t="shared" si="17"/>
        <v>263552836.78453758</v>
      </c>
      <c r="J73" s="142">
        <f t="shared" si="18"/>
        <v>244083817.36684865</v>
      </c>
      <c r="K73" s="142">
        <f t="shared" si="19"/>
        <v>283021856.20222652</v>
      </c>
      <c r="L73" s="406">
        <f t="shared" si="16"/>
        <v>19469019.41768894</v>
      </c>
      <c r="M73" s="347"/>
      <c r="N73" s="267"/>
      <c r="O73" s="348"/>
      <c r="Q73" s="157"/>
      <c r="R73" s="97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</row>
    <row r="74" spans="1:35" x14ac:dyDescent="0.2">
      <c r="A74" s="27">
        <f t="shared" si="11"/>
        <v>-48</v>
      </c>
      <c r="B74" s="93">
        <v>33578.033125000002</v>
      </c>
      <c r="C74" s="132" t="s">
        <v>57</v>
      </c>
      <c r="D74" s="133">
        <f t="shared" si="10"/>
        <v>122323.74999999767</v>
      </c>
      <c r="E74" s="129">
        <f t="shared" si="12"/>
        <v>2548.2749999983935</v>
      </c>
      <c r="F74" s="129">
        <f t="shared" si="13"/>
        <v>122332.32</v>
      </c>
      <c r="G74" s="129">
        <f t="shared" si="15"/>
        <v>8.5700000023352914</v>
      </c>
      <c r="H74" s="26">
        <f>5.233+0.4*(5.391-5.233)</f>
        <v>5.2961999999999998</v>
      </c>
      <c r="I74" s="294">
        <f t="shared" si="17"/>
        <v>256894047.40179825</v>
      </c>
      <c r="J74" s="142">
        <f t="shared" si="18"/>
        <v>239507985.85542235</v>
      </c>
      <c r="K74" s="142">
        <f t="shared" si="19"/>
        <v>274280108.94817412</v>
      </c>
      <c r="L74" s="406">
        <f t="shared" si="16"/>
        <v>17386061.546375901</v>
      </c>
      <c r="M74" s="347"/>
      <c r="N74" s="267"/>
      <c r="O74" s="348"/>
      <c r="Q74" s="97"/>
      <c r="R74" s="97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</row>
    <row r="75" spans="1:35" x14ac:dyDescent="0.2">
      <c r="A75" s="27">
        <f t="shared" si="11"/>
        <v>-49</v>
      </c>
      <c r="B75" s="93">
        <v>33576.263472222221</v>
      </c>
      <c r="C75" s="132" t="s">
        <v>53</v>
      </c>
      <c r="D75" s="133">
        <f t="shared" si="10"/>
        <v>124872.05000000191</v>
      </c>
      <c r="E75" s="129">
        <f t="shared" si="12"/>
        <v>2548.3000000042375</v>
      </c>
      <c r="F75" s="129">
        <f t="shared" si="13"/>
        <v>124880.91</v>
      </c>
      <c r="G75" s="129">
        <f t="shared" si="15"/>
        <v>8.8599999980942812</v>
      </c>
      <c r="H75" s="26">
        <v>5.3250000000000002</v>
      </c>
      <c r="I75" s="294">
        <f t="shared" si="17"/>
        <v>256590176.62780172</v>
      </c>
      <c r="J75" s="142">
        <f t="shared" si="18"/>
        <v>239503471.85997266</v>
      </c>
      <c r="K75" s="142">
        <f t="shared" si="19"/>
        <v>273676881.39563078</v>
      </c>
      <c r="L75" s="406">
        <f t="shared" si="16"/>
        <v>17086704.767829057</v>
      </c>
      <c r="M75" s="347"/>
      <c r="N75" s="267"/>
      <c r="O75" s="348"/>
      <c r="Q75" s="97"/>
      <c r="R75" s="97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</row>
    <row r="76" spans="1:35" x14ac:dyDescent="0.2">
      <c r="A76" s="27">
        <f t="shared" si="11"/>
        <v>-53</v>
      </c>
      <c r="B76" s="93">
        <v>33569.184861111113</v>
      </c>
      <c r="C76" s="132" t="s">
        <v>52</v>
      </c>
      <c r="D76" s="133">
        <f t="shared" si="10"/>
        <v>135065.2499999979</v>
      </c>
      <c r="E76" s="129">
        <f t="shared" si="12"/>
        <v>2548.2999999989988</v>
      </c>
      <c r="F76" s="129">
        <f t="shared" si="13"/>
        <v>135075.27000000002</v>
      </c>
      <c r="G76" s="129">
        <f t="shared" si="15"/>
        <v>10.020000002114102</v>
      </c>
      <c r="H76" s="26">
        <f>5.391+0.3*(5.547-5.391)</f>
        <v>5.4378000000000002</v>
      </c>
      <c r="I76" s="294">
        <f t="shared" si="17"/>
        <v>254953389.1710915</v>
      </c>
      <c r="J76" s="142">
        <f t="shared" si="18"/>
        <v>238923385.66371638</v>
      </c>
      <c r="K76" s="142">
        <f t="shared" si="19"/>
        <v>270983392.67846662</v>
      </c>
      <c r="L76" s="406">
        <f t="shared" si="16"/>
        <v>16030003.507375106</v>
      </c>
      <c r="M76" s="347"/>
      <c r="N76" s="267"/>
      <c r="O76" s="348"/>
      <c r="Q76" s="97"/>
      <c r="R76" s="97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</row>
    <row r="77" spans="1:35" x14ac:dyDescent="0.2">
      <c r="A77" s="27">
        <f t="shared" si="11"/>
        <v>-57</v>
      </c>
      <c r="B77" s="93">
        <v>33562.106319444443</v>
      </c>
      <c r="C77" s="132" t="s">
        <v>62</v>
      </c>
      <c r="D77" s="133">
        <f t="shared" si="10"/>
        <v>145258.35000000196</v>
      </c>
      <c r="E77" s="129">
        <f t="shared" si="12"/>
        <v>2548.2750000010128</v>
      </c>
      <c r="F77" s="129">
        <f t="shared" si="13"/>
        <v>145269.63</v>
      </c>
      <c r="G77" s="129">
        <f t="shared" si="15"/>
        <v>11.279999998048879</v>
      </c>
      <c r="H77" s="26">
        <v>5.5469999999999997</v>
      </c>
      <c r="I77" s="294">
        <f t="shared" si="17"/>
        <v>250611798.2200627</v>
      </c>
      <c r="J77" s="142">
        <f t="shared" si="18"/>
        <v>235726168.35867214</v>
      </c>
      <c r="K77" s="142">
        <f t="shared" si="19"/>
        <v>265497428.08145326</v>
      </c>
      <c r="L77" s="406">
        <f t="shared" si="16"/>
        <v>14885629.861390574</v>
      </c>
      <c r="M77" s="347"/>
      <c r="N77" s="267"/>
      <c r="O77" s="348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</row>
    <row r="78" spans="1:35" x14ac:dyDescent="0.2">
      <c r="A78" s="27">
        <f t="shared" si="11"/>
        <v>-66</v>
      </c>
      <c r="B78" s="93">
        <v>33546.179166666669</v>
      </c>
      <c r="C78" s="132" t="s">
        <v>63</v>
      </c>
      <c r="D78" s="133">
        <f t="shared" si="10"/>
        <v>168193.44999999739</v>
      </c>
      <c r="E78" s="129">
        <f t="shared" si="12"/>
        <v>2548.3444444439374</v>
      </c>
      <c r="F78" s="129">
        <f t="shared" si="13"/>
        <v>168206.94</v>
      </c>
      <c r="G78" s="129">
        <f t="shared" si="15"/>
        <v>13.490000002610032</v>
      </c>
      <c r="H78" s="26">
        <f>5.697+0.6*(5.837-5.697)</f>
        <v>5.7809999999999997</v>
      </c>
      <c r="I78" s="294">
        <f t="shared" si="17"/>
        <v>252804505.24636811</v>
      </c>
      <c r="J78" s="142">
        <f t="shared" si="18"/>
        <v>238561997.91130018</v>
      </c>
      <c r="K78" s="142">
        <f t="shared" si="19"/>
        <v>267047012.58143604</v>
      </c>
      <c r="L78" s="406">
        <f t="shared" si="16"/>
        <v>14242507.335067932</v>
      </c>
      <c r="M78" s="347"/>
      <c r="N78" s="267"/>
      <c r="O78" s="348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</row>
    <row r="79" spans="1:35" x14ac:dyDescent="0.2">
      <c r="A79" s="27">
        <f t="shared" si="11"/>
        <v>-70</v>
      </c>
      <c r="B79" s="93">
        <v>33539.101041666669</v>
      </c>
      <c r="C79" s="132" t="s">
        <v>61</v>
      </c>
      <c r="D79" s="133">
        <f t="shared" si="10"/>
        <v>178385.94999999739</v>
      </c>
      <c r="E79" s="129">
        <f t="shared" si="12"/>
        <v>2548.125</v>
      </c>
      <c r="F79" s="129">
        <f t="shared" si="13"/>
        <v>178401.30000000002</v>
      </c>
      <c r="G79" s="129">
        <f t="shared" si="15"/>
        <v>15.350000002625166</v>
      </c>
      <c r="H79" s="26">
        <f>5.837+0.3*(5.964-5.837)</f>
        <v>5.8750999999999998</v>
      </c>
      <c r="I79" s="294">
        <f t="shared" si="17"/>
        <v>237456162.99196342</v>
      </c>
      <c r="J79" s="142">
        <f t="shared" si="18"/>
        <v>225080597.4961274</v>
      </c>
      <c r="K79" s="142">
        <f t="shared" si="19"/>
        <v>249831728.48779944</v>
      </c>
      <c r="L79" s="406">
        <f t="shared" si="16"/>
        <v>12375565.495836016</v>
      </c>
      <c r="M79" s="347"/>
      <c r="N79" s="267"/>
      <c r="O79" s="348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</row>
    <row r="80" spans="1:35" x14ac:dyDescent="0.2">
      <c r="A80" s="27">
        <f t="shared" si="11"/>
        <v>-79</v>
      </c>
      <c r="B80" s="93">
        <v>33523.174166666664</v>
      </c>
      <c r="C80" s="132" t="s">
        <v>50</v>
      </c>
      <c r="D80" s="133">
        <f>($B$54-B80)*24*60</f>
        <v>201320.6500000041</v>
      </c>
      <c r="E80" s="129">
        <f t="shared" si="12"/>
        <v>2548.3000000007451</v>
      </c>
      <c r="F80" s="129">
        <f t="shared" si="13"/>
        <v>201338.61000000002</v>
      </c>
      <c r="G80" s="129">
        <f t="shared" si="15"/>
        <v>17.959999995917315</v>
      </c>
      <c r="H80" s="26">
        <v>6.0659999999999998</v>
      </c>
      <c r="I80" s="294">
        <f t="shared" si="17"/>
        <v>229450036.74109718</v>
      </c>
      <c r="J80" s="142">
        <f t="shared" si="18"/>
        <v>218079739.81760064</v>
      </c>
      <c r="K80" s="142">
        <f t="shared" si="19"/>
        <v>240820333.66459373</v>
      </c>
      <c r="L80" s="406">
        <f t="shared" si="16"/>
        <v>11370296.923496539</v>
      </c>
      <c r="M80" s="347"/>
      <c r="N80" s="267"/>
      <c r="O80" s="348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</row>
    <row r="81" spans="1:35" ht="13.5" thickBot="1" x14ac:dyDescent="0.25">
      <c r="A81" s="27">
        <f t="shared" si="11"/>
        <v>-92</v>
      </c>
      <c r="B81" s="94">
        <v>33500.168333333335</v>
      </c>
      <c r="C81" s="132" t="s">
        <v>53</v>
      </c>
      <c r="D81" s="133">
        <f>($B$54-B81)*24*60</f>
        <v>234449.04999999795</v>
      </c>
      <c r="E81" s="129">
        <f t="shared" si="12"/>
        <v>2548.3384615379887</v>
      </c>
      <c r="F81" s="129">
        <f t="shared" si="13"/>
        <v>234470.28000000003</v>
      </c>
      <c r="G81" s="129">
        <f t="shared" si="15"/>
        <v>21.230000002076849</v>
      </c>
      <c r="H81" s="89">
        <f>6.25+0.2*(6.308-6.25)</f>
        <v>6.2615999999999996</v>
      </c>
      <c r="I81" s="294">
        <f t="shared" si="17"/>
        <v>217080156.13200614</v>
      </c>
      <c r="J81" s="189">
        <f t="shared" si="18"/>
        <v>206650492.48466817</v>
      </c>
      <c r="K81" s="189">
        <f t="shared" si="19"/>
        <v>227509819.77934411</v>
      </c>
      <c r="L81" s="407">
        <f t="shared" si="16"/>
        <v>10429663.647337986</v>
      </c>
      <c r="M81" s="349"/>
      <c r="N81" s="350"/>
      <c r="O81" s="351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</row>
    <row r="82" spans="1:35" ht="16.5" thickBot="1" x14ac:dyDescent="0.25">
      <c r="A82" s="370" t="s">
        <v>31</v>
      </c>
      <c r="B82" s="371">
        <v>33467.958333333336</v>
      </c>
      <c r="C82" s="372" t="s">
        <v>77</v>
      </c>
      <c r="D82" s="373">
        <f>D22</f>
        <v>2548.59</v>
      </c>
      <c r="E82" s="374" t="s">
        <v>90</v>
      </c>
      <c r="F82" s="433" t="s">
        <v>95</v>
      </c>
      <c r="G82" s="434"/>
      <c r="H82" s="434"/>
      <c r="I82" s="435"/>
      <c r="J82" s="435"/>
      <c r="K82" s="435"/>
      <c r="L82" s="436"/>
      <c r="M82" s="39"/>
      <c r="N82" s="130"/>
      <c r="O82" s="39"/>
      <c r="P82" s="157"/>
      <c r="U82" s="333"/>
      <c r="V82" s="333"/>
      <c r="W82" s="333"/>
      <c r="X82" s="333"/>
      <c r="Y82" s="333"/>
      <c r="Z82" s="333"/>
      <c r="AA82" s="333"/>
      <c r="AB82" s="333"/>
      <c r="AC82" s="333"/>
      <c r="AD82" s="333"/>
      <c r="AE82" s="333"/>
      <c r="AF82" s="333"/>
      <c r="AG82" s="333"/>
      <c r="AH82" s="333"/>
      <c r="AI82" s="333"/>
    </row>
    <row r="83" spans="1:35" ht="13.5" thickBot="1" x14ac:dyDescent="0.25">
      <c r="A83" s="99"/>
      <c r="B83" s="343"/>
      <c r="C83" s="333"/>
      <c r="D83" s="333"/>
      <c r="E83" s="39"/>
      <c r="F83" s="196"/>
      <c r="G83" s="158"/>
      <c r="H83" s="333"/>
      <c r="I83" s="333"/>
      <c r="J83" s="333"/>
      <c r="K83" s="139"/>
      <c r="L83" s="139"/>
      <c r="M83" s="139"/>
      <c r="O83" s="130"/>
      <c r="P83" s="39"/>
      <c r="U83" s="333"/>
      <c r="V83" s="333"/>
      <c r="W83" s="333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</row>
    <row r="84" spans="1:35" x14ac:dyDescent="0.2">
      <c r="A84" s="99"/>
      <c r="B84" s="181"/>
      <c r="C84" s="333"/>
      <c r="D84" s="333"/>
      <c r="E84" s="125"/>
      <c r="F84" s="201"/>
      <c r="G84" s="281"/>
      <c r="H84" s="332"/>
      <c r="I84" s="333"/>
      <c r="J84" s="333"/>
      <c r="K84" s="427" t="s">
        <v>88</v>
      </c>
      <c r="L84" s="428"/>
      <c r="O84" s="130"/>
      <c r="P84" s="158"/>
      <c r="U84" s="333"/>
      <c r="V84" s="333"/>
      <c r="W84" s="333"/>
      <c r="X84" s="333"/>
      <c r="Y84" s="333"/>
      <c r="Z84" s="333"/>
      <c r="AA84" s="333"/>
      <c r="AB84" s="333"/>
      <c r="AC84" s="333"/>
      <c r="AD84" s="333"/>
      <c r="AE84" s="333"/>
      <c r="AF84" s="333"/>
      <c r="AG84" s="333"/>
      <c r="AH84" s="333"/>
      <c r="AI84" s="333"/>
    </row>
    <row r="85" spans="1:35" x14ac:dyDescent="0.2">
      <c r="A85" s="99"/>
      <c r="K85" s="237" t="s">
        <v>1</v>
      </c>
      <c r="L85" s="238" t="s">
        <v>2</v>
      </c>
      <c r="O85" s="130"/>
      <c r="P85" s="39"/>
      <c r="U85" s="333"/>
      <c r="V85" s="333"/>
      <c r="W85" s="333"/>
      <c r="X85" s="333"/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</row>
    <row r="86" spans="1:35" x14ac:dyDescent="0.2">
      <c r="A86" s="99"/>
      <c r="B86" s="179"/>
      <c r="C86" s="139"/>
      <c r="D86" s="97"/>
      <c r="E86" s="139"/>
      <c r="G86" s="97"/>
      <c r="H86" s="265"/>
      <c r="I86" s="266"/>
      <c r="J86" s="266"/>
      <c r="K86" s="175">
        <v>0</v>
      </c>
      <c r="L86" s="171">
        <v>4.4130000000000003</v>
      </c>
      <c r="O86" s="130"/>
      <c r="P86" s="39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333"/>
    </row>
    <row r="87" spans="1:35" x14ac:dyDescent="0.2">
      <c r="A87" s="99"/>
      <c r="B87" s="181"/>
      <c r="C87" s="176"/>
      <c r="D87" s="97"/>
      <c r="E87" s="176"/>
      <c r="F87" s="176"/>
      <c r="G87" s="266"/>
      <c r="H87" s="180"/>
      <c r="I87" s="266"/>
      <c r="J87" s="266"/>
      <c r="K87" s="15">
        <v>-79</v>
      </c>
      <c r="L87" s="172">
        <v>6.0659999999999998</v>
      </c>
      <c r="O87" s="4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33"/>
      <c r="AH87" s="333"/>
      <c r="AI87" s="333"/>
    </row>
    <row r="88" spans="1:35" x14ac:dyDescent="0.2">
      <c r="A88" s="99"/>
      <c r="B88" s="164"/>
      <c r="C88" s="97"/>
      <c r="D88" s="97"/>
      <c r="E88" s="97"/>
      <c r="F88" s="97"/>
      <c r="G88" s="164"/>
      <c r="H88" s="97"/>
      <c r="I88" s="97"/>
      <c r="J88" s="97"/>
      <c r="K88" s="15">
        <f>A15</f>
        <v>26</v>
      </c>
      <c r="L88" s="173">
        <f>H15</f>
        <v>4.7169999999999996</v>
      </c>
      <c r="O88" s="4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</row>
    <row r="89" spans="1:35" ht="13.5" thickBot="1" x14ac:dyDescent="0.25">
      <c r="A89" s="99"/>
      <c r="B89" s="164"/>
      <c r="C89" s="97"/>
      <c r="D89" s="97"/>
      <c r="E89" s="97"/>
      <c r="F89" s="97"/>
      <c r="G89" s="164"/>
      <c r="K89" s="14">
        <v>70</v>
      </c>
      <c r="L89" s="174">
        <v>5.8550000000000004</v>
      </c>
      <c r="M89" s="4"/>
      <c r="O89" s="4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</row>
    <row r="90" spans="1:35" x14ac:dyDescent="0.2">
      <c r="A90" s="99"/>
      <c r="B90" s="164"/>
      <c r="C90" s="97"/>
      <c r="D90" s="97"/>
      <c r="E90" s="97"/>
      <c r="F90" s="97"/>
      <c r="G90" s="164"/>
      <c r="K90" s="431" t="s">
        <v>91</v>
      </c>
      <c r="L90" s="432"/>
      <c r="O90" s="4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</row>
    <row r="91" spans="1:35" x14ac:dyDescent="0.2">
      <c r="A91" s="99"/>
      <c r="B91" s="164"/>
      <c r="C91" s="97"/>
      <c r="D91" s="97"/>
      <c r="E91" s="97"/>
      <c r="F91" s="97"/>
      <c r="G91" s="164"/>
      <c r="K91" s="361">
        <v>-70</v>
      </c>
      <c r="L91" s="406">
        <v>300000000</v>
      </c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</row>
    <row r="92" spans="1:35" x14ac:dyDescent="0.2">
      <c r="A92" s="99"/>
      <c r="B92" s="164"/>
      <c r="C92" s="97"/>
      <c r="D92" s="97"/>
      <c r="E92" s="97"/>
      <c r="F92" s="97"/>
      <c r="G92" s="164"/>
      <c r="K92" s="15">
        <v>70</v>
      </c>
      <c r="L92" s="406">
        <v>300000000</v>
      </c>
      <c r="O92" s="18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</row>
    <row r="93" spans="1:35" x14ac:dyDescent="0.2">
      <c r="A93" s="99"/>
      <c r="B93" s="164"/>
      <c r="C93" s="97"/>
      <c r="D93" s="97"/>
      <c r="E93" s="97"/>
      <c r="F93" s="97"/>
      <c r="G93" s="164"/>
      <c r="K93" s="15">
        <v>10</v>
      </c>
      <c r="L93" s="406">
        <v>300000000</v>
      </c>
      <c r="O93" s="3"/>
      <c r="U93" s="333"/>
      <c r="V93" s="333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</row>
    <row r="94" spans="1:35" ht="13.5" thickBot="1" x14ac:dyDescent="0.25">
      <c r="A94" s="99"/>
      <c r="B94" s="164"/>
      <c r="C94" s="97"/>
      <c r="D94" s="97"/>
      <c r="E94" s="97"/>
      <c r="F94" s="97"/>
      <c r="G94" s="164"/>
      <c r="K94" s="14">
        <v>72</v>
      </c>
      <c r="L94" s="407">
        <v>300000000</v>
      </c>
      <c r="O94" s="3"/>
      <c r="U94" s="333"/>
      <c r="V94" s="333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</row>
    <row r="95" spans="1:35" x14ac:dyDescent="0.2">
      <c r="A95" s="99"/>
      <c r="B95" s="164"/>
      <c r="C95" s="97"/>
      <c r="D95" s="97"/>
      <c r="E95" s="97"/>
      <c r="F95" s="97"/>
      <c r="G95" s="164"/>
      <c r="O95" s="3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</row>
    <row r="96" spans="1:35" x14ac:dyDescent="0.2">
      <c r="A96" s="99"/>
      <c r="B96" s="164"/>
      <c r="C96" s="97"/>
      <c r="D96" s="97"/>
      <c r="E96" s="97"/>
      <c r="F96" s="97"/>
      <c r="G96" s="164"/>
      <c r="U96" s="333"/>
      <c r="V96" s="333"/>
      <c r="W96" s="333"/>
      <c r="X96" s="333"/>
      <c r="Y96" s="333"/>
      <c r="Z96" s="333"/>
      <c r="AA96" s="333"/>
      <c r="AB96" s="333"/>
      <c r="AC96" s="333"/>
      <c r="AD96" s="333"/>
      <c r="AE96" s="333"/>
      <c r="AF96" s="333"/>
      <c r="AG96" s="333"/>
      <c r="AH96" s="333"/>
      <c r="AI96" s="333"/>
    </row>
    <row r="97" spans="1:35" x14ac:dyDescent="0.2">
      <c r="A97" s="99"/>
      <c r="B97" s="164"/>
      <c r="C97" s="97"/>
      <c r="D97" s="97"/>
      <c r="E97" s="97"/>
      <c r="F97" s="97"/>
      <c r="G97" s="164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</row>
    <row r="98" spans="1:35" x14ac:dyDescent="0.2">
      <c r="A98" s="99"/>
      <c r="B98" s="164"/>
      <c r="C98" s="97"/>
      <c r="D98" s="97"/>
      <c r="E98" s="97"/>
      <c r="F98" s="97"/>
      <c r="G98" s="164"/>
      <c r="U98" s="333"/>
      <c r="V98" s="333"/>
      <c r="W98" s="333"/>
      <c r="X98" s="333"/>
      <c r="Y98" s="333"/>
      <c r="Z98" s="333"/>
      <c r="AA98" s="333"/>
      <c r="AB98" s="333"/>
      <c r="AC98" s="333"/>
      <c r="AD98" s="333"/>
      <c r="AE98" s="333"/>
      <c r="AF98" s="333"/>
      <c r="AG98" s="333"/>
      <c r="AH98" s="333"/>
      <c r="AI98" s="333"/>
    </row>
    <row r="99" spans="1:35" x14ac:dyDescent="0.2">
      <c r="A99" s="99"/>
      <c r="B99" s="164"/>
      <c r="C99" s="97"/>
      <c r="D99" s="97"/>
      <c r="E99" s="97"/>
      <c r="F99" s="97"/>
      <c r="G99" s="164"/>
      <c r="U99" s="333"/>
      <c r="V99" s="333"/>
      <c r="W99" s="333"/>
      <c r="X99" s="333"/>
      <c r="Y99" s="333"/>
      <c r="Z99" s="333"/>
      <c r="AA99" s="333"/>
      <c r="AB99" s="333"/>
      <c r="AC99" s="333"/>
      <c r="AD99" s="333"/>
      <c r="AE99" s="333"/>
      <c r="AF99" s="333"/>
      <c r="AG99" s="333"/>
      <c r="AH99" s="333"/>
      <c r="AI99" s="333"/>
    </row>
    <row r="100" spans="1:35" x14ac:dyDescent="0.2">
      <c r="A100" s="99"/>
      <c r="B100" s="97"/>
      <c r="C100" s="97"/>
      <c r="D100" s="97"/>
      <c r="E100" s="97"/>
      <c r="F100" s="97"/>
      <c r="G100" s="97"/>
      <c r="U100" s="333"/>
      <c r="V100" s="333"/>
      <c r="W100" s="333"/>
      <c r="X100" s="333"/>
      <c r="Y100" s="333"/>
      <c r="Z100" s="333"/>
      <c r="AA100" s="333"/>
      <c r="AB100" s="333"/>
      <c r="AC100" s="333"/>
      <c r="AD100" s="333"/>
      <c r="AE100" s="333"/>
      <c r="AF100" s="333"/>
      <c r="AG100" s="333"/>
      <c r="AH100" s="333"/>
      <c r="AI100" s="333"/>
    </row>
    <row r="101" spans="1:35" x14ac:dyDescent="0.2">
      <c r="A101" s="99"/>
      <c r="B101" s="97"/>
      <c r="C101" s="97"/>
      <c r="D101" s="97"/>
      <c r="E101" s="97"/>
      <c r="F101" s="97"/>
      <c r="G101" s="97"/>
      <c r="U101" s="333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</row>
    <row r="102" spans="1:35" x14ac:dyDescent="0.2">
      <c r="A102" s="99"/>
      <c r="B102" s="97"/>
      <c r="C102" s="97"/>
      <c r="D102" s="97"/>
      <c r="E102" s="97"/>
      <c r="F102" s="97"/>
      <c r="G102" s="97"/>
      <c r="U102" s="333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</row>
    <row r="103" spans="1:35" x14ac:dyDescent="0.2">
      <c r="A103" s="99"/>
      <c r="B103" s="97"/>
      <c r="C103" s="97"/>
      <c r="D103" s="97"/>
      <c r="E103" s="97"/>
      <c r="F103" s="97"/>
      <c r="G103" s="97"/>
      <c r="U103" s="333"/>
      <c r="V103" s="333"/>
      <c r="W103" s="333"/>
      <c r="X103" s="333"/>
      <c r="Y103" s="333"/>
      <c r="Z103" s="333"/>
      <c r="AA103" s="333"/>
      <c r="AB103" s="333"/>
      <c r="AC103" s="333"/>
      <c r="AD103" s="333"/>
      <c r="AE103" s="333"/>
      <c r="AF103" s="333"/>
      <c r="AG103" s="333"/>
      <c r="AH103" s="333"/>
      <c r="AI103" s="333"/>
    </row>
    <row r="104" spans="1:35" x14ac:dyDescent="0.2">
      <c r="A104" s="99"/>
      <c r="B104" s="97"/>
      <c r="C104" s="97"/>
      <c r="D104" s="97"/>
      <c r="E104" s="97"/>
      <c r="F104" s="97"/>
      <c r="G104" s="97"/>
      <c r="U104" s="333"/>
      <c r="V104" s="333"/>
      <c r="W104" s="333"/>
      <c r="X104" s="333"/>
      <c r="Y104" s="333"/>
      <c r="Z104" s="333"/>
      <c r="AA104" s="333"/>
      <c r="AB104" s="333"/>
      <c r="AC104" s="333"/>
      <c r="AD104" s="333"/>
      <c r="AE104" s="333"/>
      <c r="AF104" s="333"/>
      <c r="AG104" s="333"/>
      <c r="AH104" s="333"/>
      <c r="AI104" s="333"/>
    </row>
    <row r="105" spans="1:35" x14ac:dyDescent="0.2">
      <c r="A105" s="99"/>
      <c r="B105" s="97"/>
      <c r="C105" s="97"/>
      <c r="D105" s="97"/>
      <c r="E105" s="97"/>
      <c r="F105" s="97"/>
      <c r="G105" s="97"/>
      <c r="U105" s="333"/>
      <c r="V105" s="333"/>
      <c r="W105" s="333"/>
      <c r="X105" s="333"/>
      <c r="Y105" s="333"/>
      <c r="Z105" s="333"/>
      <c r="AA105" s="333"/>
      <c r="AB105" s="333"/>
      <c r="AC105" s="333"/>
      <c r="AD105" s="333"/>
      <c r="AE105" s="333"/>
      <c r="AF105" s="333"/>
      <c r="AG105" s="333"/>
      <c r="AH105" s="333"/>
      <c r="AI105" s="333"/>
    </row>
    <row r="106" spans="1:35" x14ac:dyDescent="0.2">
      <c r="A106" s="99"/>
      <c r="B106" s="97"/>
      <c r="C106" s="97"/>
      <c r="D106" s="97"/>
      <c r="E106" s="97"/>
      <c r="F106" s="97"/>
      <c r="G106" s="97"/>
      <c r="U106" s="333"/>
      <c r="V106" s="333"/>
      <c r="W106" s="333"/>
      <c r="X106" s="333"/>
      <c r="Y106" s="333"/>
      <c r="Z106" s="333"/>
      <c r="AA106" s="333"/>
      <c r="AB106" s="333"/>
      <c r="AC106" s="333"/>
      <c r="AD106" s="333"/>
      <c r="AE106" s="333"/>
      <c r="AF106" s="333"/>
      <c r="AG106" s="333"/>
      <c r="AH106" s="333"/>
      <c r="AI106" s="333"/>
    </row>
    <row r="107" spans="1:35" x14ac:dyDescent="0.2">
      <c r="A107" s="99"/>
      <c r="B107" s="97"/>
      <c r="C107" s="97"/>
      <c r="D107" s="97"/>
      <c r="E107" s="97"/>
      <c r="F107" s="97"/>
      <c r="G107" s="97"/>
      <c r="Q107" s="97"/>
      <c r="R107" s="97"/>
      <c r="S107" s="97"/>
      <c r="T107" s="97"/>
      <c r="U107" s="333"/>
      <c r="V107" s="333"/>
      <c r="W107" s="333"/>
      <c r="X107" s="333"/>
      <c r="Y107" s="333"/>
      <c r="Z107" s="333"/>
      <c r="AA107" s="333"/>
      <c r="AB107" s="333"/>
      <c r="AC107" s="333"/>
      <c r="AD107" s="333"/>
      <c r="AE107" s="333"/>
      <c r="AF107" s="333"/>
      <c r="AG107" s="333"/>
      <c r="AH107" s="333"/>
      <c r="AI107" s="333"/>
    </row>
    <row r="108" spans="1:35" x14ac:dyDescent="0.2">
      <c r="A108" s="99"/>
      <c r="B108" s="97"/>
      <c r="C108" s="97"/>
      <c r="D108" s="97"/>
      <c r="E108" s="97"/>
      <c r="F108" s="97"/>
      <c r="G108" s="97"/>
      <c r="Q108" s="97"/>
      <c r="R108" s="97"/>
      <c r="S108" s="97"/>
      <c r="T108" s="97"/>
      <c r="U108" s="333"/>
      <c r="V108" s="333"/>
      <c r="W108" s="333"/>
      <c r="X108" s="333"/>
      <c r="Y108" s="333"/>
      <c r="Z108" s="333"/>
      <c r="AA108" s="333"/>
      <c r="AB108" s="333"/>
      <c r="AC108" s="333"/>
      <c r="AD108" s="333"/>
      <c r="AE108" s="333"/>
      <c r="AF108" s="333"/>
      <c r="AG108" s="333"/>
      <c r="AH108" s="333"/>
      <c r="AI108" s="333"/>
    </row>
    <row r="109" spans="1:35" x14ac:dyDescent="0.2">
      <c r="A109" s="99"/>
      <c r="B109" s="97"/>
      <c r="C109" s="97"/>
      <c r="D109" s="97"/>
      <c r="E109" s="97"/>
      <c r="F109" s="97"/>
      <c r="G109" s="97"/>
      <c r="Q109" s="97"/>
      <c r="R109" s="97"/>
      <c r="S109" s="97"/>
      <c r="T109" s="97"/>
      <c r="U109" s="333"/>
      <c r="V109" s="333"/>
      <c r="W109" s="333"/>
      <c r="X109" s="333"/>
      <c r="Y109" s="333"/>
      <c r="Z109" s="333"/>
      <c r="AA109" s="333"/>
      <c r="AB109" s="333"/>
      <c r="AC109" s="333"/>
      <c r="AD109" s="333"/>
      <c r="AE109" s="333"/>
      <c r="AF109" s="333"/>
      <c r="AG109" s="333"/>
      <c r="AH109" s="333"/>
      <c r="AI109" s="333"/>
    </row>
    <row r="110" spans="1:35" x14ac:dyDescent="0.2">
      <c r="A110" s="99"/>
      <c r="B110" s="97"/>
      <c r="C110" s="97"/>
      <c r="D110" s="97"/>
      <c r="E110" s="97"/>
      <c r="F110" s="97"/>
      <c r="G110" s="97"/>
      <c r="H110" s="97"/>
      <c r="Q110" s="97"/>
      <c r="R110" s="97"/>
      <c r="S110" s="97"/>
      <c r="T110" s="97"/>
      <c r="U110" s="333"/>
      <c r="V110" s="333"/>
      <c r="W110" s="333"/>
      <c r="X110" s="333"/>
      <c r="Y110" s="333"/>
      <c r="Z110" s="333"/>
      <c r="AA110" s="333"/>
      <c r="AB110" s="333"/>
      <c r="AC110" s="333"/>
      <c r="AD110" s="333"/>
      <c r="AE110" s="333"/>
      <c r="AF110" s="333"/>
      <c r="AG110" s="333"/>
      <c r="AH110" s="333"/>
      <c r="AI110" s="333"/>
    </row>
    <row r="111" spans="1:35" x14ac:dyDescent="0.2">
      <c r="A111" s="99"/>
      <c r="B111" s="97"/>
      <c r="C111" s="97"/>
      <c r="D111" s="97"/>
      <c r="E111" s="97"/>
      <c r="F111" s="97"/>
      <c r="G111" s="97"/>
      <c r="H111" s="97"/>
      <c r="Q111" s="97"/>
      <c r="R111" s="97"/>
      <c r="S111" s="97"/>
      <c r="T111" s="97"/>
      <c r="U111" s="333"/>
      <c r="V111" s="333"/>
      <c r="W111" s="333"/>
      <c r="X111" s="333"/>
      <c r="Y111" s="333"/>
      <c r="Z111" s="333"/>
      <c r="AA111" s="333"/>
      <c r="AB111" s="333"/>
      <c r="AC111" s="333"/>
      <c r="AD111" s="333"/>
      <c r="AE111" s="333"/>
      <c r="AF111" s="333"/>
      <c r="AG111" s="333"/>
      <c r="AH111" s="333"/>
      <c r="AI111" s="333"/>
    </row>
    <row r="112" spans="1:35" x14ac:dyDescent="0.2">
      <c r="A112" s="99"/>
      <c r="B112" s="97"/>
      <c r="C112" s="97"/>
      <c r="D112" s="97"/>
      <c r="E112" s="97"/>
      <c r="F112" s="97"/>
      <c r="G112" s="97"/>
      <c r="H112" s="97"/>
      <c r="Q112" s="97"/>
      <c r="R112" s="97"/>
      <c r="S112" s="97"/>
      <c r="T112" s="97"/>
      <c r="U112" s="333"/>
      <c r="V112" s="333"/>
      <c r="W112" s="333"/>
      <c r="X112" s="333"/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33"/>
    </row>
    <row r="113" spans="1:35" x14ac:dyDescent="0.2">
      <c r="A113" s="99"/>
      <c r="B113" s="97"/>
      <c r="C113" s="97"/>
      <c r="D113" s="97"/>
      <c r="E113" s="97"/>
      <c r="F113" s="97"/>
      <c r="G113" s="97"/>
      <c r="H113" s="97"/>
      <c r="Q113" s="97"/>
      <c r="R113" s="97"/>
      <c r="S113" s="97"/>
      <c r="T113" s="97"/>
      <c r="U113" s="333"/>
      <c r="V113" s="333"/>
      <c r="W113" s="333"/>
      <c r="X113" s="333"/>
      <c r="Y113" s="333"/>
      <c r="Z113" s="333"/>
      <c r="AA113" s="333"/>
      <c r="AB113" s="333"/>
      <c r="AC113" s="333"/>
      <c r="AD113" s="333"/>
      <c r="AE113" s="333"/>
      <c r="AF113" s="333"/>
      <c r="AG113" s="333"/>
      <c r="AH113" s="333"/>
      <c r="AI113" s="333"/>
    </row>
    <row r="114" spans="1:35" x14ac:dyDescent="0.2">
      <c r="A114" s="99"/>
      <c r="B114" s="97"/>
      <c r="C114" s="97"/>
      <c r="D114" s="97"/>
      <c r="E114" s="97"/>
      <c r="F114" s="97"/>
      <c r="G114" s="97"/>
      <c r="H114" s="97"/>
      <c r="P114" s="5"/>
      <c r="Q114" s="97"/>
      <c r="R114" s="97"/>
      <c r="S114" s="97"/>
      <c r="T114" s="97"/>
      <c r="U114" s="333"/>
      <c r="V114" s="333"/>
      <c r="W114" s="333"/>
      <c r="X114" s="333"/>
      <c r="Y114" s="333"/>
      <c r="Z114" s="333"/>
      <c r="AA114" s="333"/>
      <c r="AB114" s="333"/>
      <c r="AC114" s="333"/>
      <c r="AD114" s="333"/>
      <c r="AE114" s="333"/>
      <c r="AF114" s="333"/>
      <c r="AG114" s="333"/>
      <c r="AH114" s="333"/>
      <c r="AI114" s="333"/>
    </row>
    <row r="115" spans="1:35" x14ac:dyDescent="0.2">
      <c r="A115" s="99"/>
      <c r="B115" s="97"/>
      <c r="C115" s="97"/>
      <c r="D115" s="97"/>
      <c r="E115" s="97"/>
      <c r="F115" s="97"/>
      <c r="G115" s="97"/>
      <c r="H115" s="97"/>
      <c r="P115" s="5"/>
      <c r="Q115" s="97"/>
      <c r="R115" s="97"/>
      <c r="S115" s="97"/>
      <c r="T115" s="97"/>
      <c r="U115" s="333"/>
      <c r="V115" s="333"/>
      <c r="W115" s="333"/>
      <c r="X115" s="333"/>
      <c r="Y115" s="333"/>
      <c r="Z115" s="333"/>
      <c r="AA115" s="333"/>
      <c r="AB115" s="333"/>
      <c r="AC115" s="333"/>
      <c r="AD115" s="333"/>
      <c r="AE115" s="333"/>
      <c r="AF115" s="333"/>
      <c r="AG115" s="333"/>
      <c r="AH115" s="333"/>
      <c r="AI115" s="333"/>
    </row>
    <row r="116" spans="1:35" x14ac:dyDescent="0.2">
      <c r="A116" s="99"/>
      <c r="B116" s="97"/>
      <c r="C116" s="97"/>
      <c r="D116" s="90"/>
      <c r="E116" s="97"/>
      <c r="F116" s="97"/>
      <c r="G116" s="97"/>
      <c r="H116" s="97"/>
      <c r="P116" s="5"/>
      <c r="Q116" s="97"/>
      <c r="R116" s="97"/>
      <c r="S116" s="97"/>
      <c r="T116" s="97"/>
      <c r="U116" s="333"/>
      <c r="V116" s="333"/>
      <c r="W116" s="333"/>
      <c r="X116" s="333"/>
      <c r="Y116" s="333"/>
      <c r="Z116" s="333"/>
      <c r="AA116" s="333"/>
      <c r="AB116" s="333"/>
      <c r="AC116" s="333"/>
      <c r="AD116" s="333"/>
      <c r="AE116" s="333"/>
      <c r="AF116" s="333"/>
      <c r="AG116" s="333"/>
      <c r="AH116" s="333"/>
      <c r="AI116" s="333"/>
    </row>
    <row r="117" spans="1:35" ht="15" customHeight="1" x14ac:dyDescent="0.2">
      <c r="A117" s="99"/>
      <c r="B117" s="97"/>
      <c r="C117" s="97"/>
      <c r="D117" s="182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100"/>
      <c r="Q117" s="97"/>
      <c r="R117" s="97"/>
      <c r="S117" s="97"/>
      <c r="T117" s="97"/>
      <c r="U117" s="333"/>
      <c r="V117" s="333"/>
      <c r="W117" s="333"/>
      <c r="X117" s="333"/>
      <c r="Y117" s="333"/>
      <c r="Z117" s="333"/>
      <c r="AA117" s="333"/>
      <c r="AB117" s="333"/>
      <c r="AC117" s="333"/>
      <c r="AD117" s="333"/>
      <c r="AE117" s="333"/>
      <c r="AF117" s="333"/>
      <c r="AG117" s="333"/>
      <c r="AH117" s="333"/>
      <c r="AI117" s="333"/>
    </row>
    <row r="118" spans="1:35" x14ac:dyDescent="0.2">
      <c r="A118" s="99"/>
      <c r="B118" s="97"/>
      <c r="C118" s="97"/>
      <c r="D118" s="108"/>
      <c r="E118" s="97"/>
      <c r="F118" s="97"/>
      <c r="G118" s="97"/>
      <c r="H118" s="97"/>
      <c r="I118" s="97"/>
      <c r="J118" s="97"/>
      <c r="K118" s="97"/>
      <c r="L118" s="90"/>
      <c r="M118" s="90"/>
      <c r="N118" s="97"/>
      <c r="O118" s="97"/>
      <c r="P118" s="100"/>
      <c r="Q118" s="97"/>
      <c r="R118" s="97"/>
      <c r="S118" s="97"/>
      <c r="T118" s="97"/>
      <c r="U118" s="333"/>
      <c r="V118" s="333"/>
      <c r="W118" s="333"/>
      <c r="X118" s="333"/>
      <c r="Y118" s="333"/>
      <c r="Z118" s="333"/>
      <c r="AA118" s="333"/>
      <c r="AB118" s="333"/>
      <c r="AC118" s="333"/>
      <c r="AD118" s="333"/>
      <c r="AE118" s="333"/>
      <c r="AF118" s="333"/>
      <c r="AG118" s="333"/>
      <c r="AH118" s="333"/>
      <c r="AI118" s="333"/>
    </row>
    <row r="119" spans="1:35" x14ac:dyDescent="0.2">
      <c r="A119" s="99"/>
      <c r="B119" s="100"/>
      <c r="C119" s="90"/>
      <c r="D119" s="138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7"/>
      <c r="R119" s="97"/>
      <c r="S119" s="97"/>
      <c r="T119" s="97"/>
      <c r="U119" s="333"/>
      <c r="V119" s="333"/>
      <c r="W119" s="333"/>
      <c r="X119" s="333"/>
      <c r="Y119" s="333"/>
      <c r="Z119" s="333"/>
      <c r="AA119" s="333"/>
      <c r="AB119" s="333"/>
      <c r="AC119" s="333"/>
      <c r="AD119" s="333"/>
      <c r="AE119" s="333"/>
      <c r="AF119" s="333"/>
      <c r="AG119" s="333"/>
      <c r="AH119" s="333"/>
      <c r="AI119" s="333"/>
    </row>
    <row r="120" spans="1:35" x14ac:dyDescent="0.2">
      <c r="A120" s="99"/>
      <c r="B120" s="106"/>
      <c r="C120" s="108"/>
      <c r="D120" s="138"/>
      <c r="E120" s="182"/>
      <c r="F120" s="108"/>
      <c r="G120" s="108"/>
      <c r="H120" s="108"/>
      <c r="I120" s="110"/>
      <c r="J120" s="159"/>
      <c r="K120" s="160"/>
      <c r="L120" s="109"/>
      <c r="M120" s="336"/>
      <c r="N120" s="90"/>
      <c r="O120" s="90"/>
      <c r="P120" s="109"/>
      <c r="Q120" s="97"/>
      <c r="R120" s="97"/>
      <c r="S120" s="97"/>
      <c r="T120" s="97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333"/>
    </row>
    <row r="121" spans="1:35" x14ac:dyDescent="0.2">
      <c r="A121" s="99"/>
      <c r="B121" s="109"/>
      <c r="C121" s="108"/>
      <c r="D121" s="138"/>
      <c r="E121" s="108"/>
      <c r="F121" s="109"/>
      <c r="G121" s="108"/>
      <c r="H121" s="108"/>
      <c r="I121" s="108"/>
      <c r="J121" s="109"/>
      <c r="K121" s="113"/>
      <c r="L121" s="109"/>
      <c r="M121" s="336"/>
      <c r="N121" s="165"/>
      <c r="O121" s="165"/>
      <c r="P121" s="109"/>
      <c r="Q121" s="97"/>
      <c r="R121" s="97"/>
      <c r="S121" s="97"/>
      <c r="T121" s="97"/>
      <c r="U121" s="333"/>
      <c r="V121" s="333"/>
      <c r="W121" s="333"/>
      <c r="X121" s="333"/>
      <c r="Y121" s="333"/>
      <c r="Z121" s="333"/>
      <c r="AA121" s="333"/>
      <c r="AB121" s="333"/>
      <c r="AC121" s="333"/>
      <c r="AD121" s="333"/>
      <c r="AE121" s="333"/>
      <c r="AF121" s="333"/>
      <c r="AG121" s="333"/>
      <c r="AH121" s="333"/>
      <c r="AI121" s="333"/>
    </row>
    <row r="122" spans="1:35" x14ac:dyDescent="0.2">
      <c r="A122" s="99"/>
      <c r="B122" s="138"/>
      <c r="C122" s="124"/>
      <c r="D122" s="138"/>
      <c r="E122" s="118"/>
      <c r="F122" s="138"/>
      <c r="G122" s="161"/>
      <c r="H122" s="118"/>
      <c r="I122" s="39"/>
      <c r="J122" s="39"/>
      <c r="K122" s="100"/>
      <c r="L122" s="283"/>
      <c r="M122" s="100"/>
      <c r="N122" s="90"/>
      <c r="O122" s="90"/>
      <c r="P122" s="90"/>
      <c r="Q122" s="97"/>
      <c r="R122" s="97"/>
      <c r="S122" s="97"/>
      <c r="T122" s="97"/>
      <c r="U122" s="333"/>
      <c r="V122" s="333"/>
      <c r="W122" s="333"/>
      <c r="X122" s="333"/>
      <c r="Y122" s="333"/>
      <c r="Z122" s="333"/>
      <c r="AA122" s="333"/>
      <c r="AB122" s="333"/>
      <c r="AC122" s="333"/>
      <c r="AD122" s="333"/>
      <c r="AE122" s="333"/>
      <c r="AF122" s="333"/>
      <c r="AG122" s="333"/>
      <c r="AH122" s="333"/>
      <c r="AI122" s="333"/>
    </row>
    <row r="123" spans="1:35" x14ac:dyDescent="0.2">
      <c r="A123" s="99"/>
      <c r="B123" s="138"/>
      <c r="C123" s="124"/>
      <c r="D123" s="138"/>
      <c r="E123" s="118"/>
      <c r="F123" s="162"/>
      <c r="G123" s="161"/>
      <c r="H123" s="118"/>
      <c r="I123" s="39"/>
      <c r="J123" s="39"/>
      <c r="K123" s="100"/>
      <c r="L123" s="39"/>
      <c r="M123" s="39"/>
      <c r="N123" s="39"/>
      <c r="O123" s="39"/>
      <c r="P123" s="39"/>
      <c r="Q123" s="97"/>
      <c r="R123" s="97"/>
      <c r="S123" s="97"/>
      <c r="T123" s="97"/>
      <c r="U123" s="333"/>
      <c r="V123" s="333"/>
      <c r="W123" s="333"/>
      <c r="X123" s="333"/>
      <c r="Y123" s="333"/>
      <c r="Z123" s="333"/>
      <c r="AA123" s="333"/>
      <c r="AB123" s="333"/>
      <c r="AC123" s="333"/>
      <c r="AD123" s="333"/>
      <c r="AE123" s="333"/>
      <c r="AF123" s="333"/>
      <c r="AG123" s="333"/>
      <c r="AH123" s="333"/>
      <c r="AI123" s="333"/>
    </row>
    <row r="124" spans="1:35" x14ac:dyDescent="0.2">
      <c r="A124" s="99"/>
      <c r="B124" s="138"/>
      <c r="C124" s="124"/>
      <c r="D124" s="138"/>
      <c r="E124" s="118"/>
      <c r="F124" s="162"/>
      <c r="G124" s="161"/>
      <c r="H124" s="118"/>
      <c r="I124" s="39"/>
      <c r="J124" s="39"/>
      <c r="K124" s="100"/>
      <c r="L124" s="39"/>
      <c r="M124" s="39"/>
      <c r="N124" s="39"/>
      <c r="O124" s="39"/>
      <c r="P124" s="39"/>
      <c r="Q124" s="97"/>
      <c r="R124" s="97"/>
      <c r="S124" s="97"/>
      <c r="T124" s="97"/>
      <c r="U124" s="333"/>
      <c r="V124" s="333"/>
      <c r="W124" s="333"/>
      <c r="X124" s="333"/>
      <c r="Y124" s="333"/>
      <c r="Z124" s="333"/>
      <c r="AA124" s="333"/>
      <c r="AB124" s="333"/>
      <c r="AC124" s="333"/>
      <c r="AD124" s="333"/>
      <c r="AE124" s="333"/>
      <c r="AF124" s="333"/>
      <c r="AG124" s="333"/>
      <c r="AH124" s="333"/>
      <c r="AI124" s="333"/>
    </row>
    <row r="125" spans="1:35" x14ac:dyDescent="0.2">
      <c r="A125" s="99"/>
      <c r="B125" s="138"/>
      <c r="C125" s="124"/>
      <c r="D125" s="138"/>
      <c r="E125" s="118"/>
      <c r="F125" s="162"/>
      <c r="G125" s="161"/>
      <c r="H125" s="118"/>
      <c r="I125" s="39"/>
      <c r="J125" s="39"/>
      <c r="K125" s="100"/>
      <c r="L125" s="39"/>
      <c r="M125" s="39"/>
      <c r="N125" s="39"/>
      <c r="O125" s="39"/>
      <c r="P125" s="39"/>
      <c r="Q125" s="97"/>
      <c r="R125" s="97"/>
      <c r="S125" s="97"/>
      <c r="T125" s="97"/>
      <c r="U125" s="333"/>
      <c r="V125" s="333"/>
      <c r="W125" s="333"/>
      <c r="X125" s="333"/>
      <c r="Y125" s="333"/>
      <c r="Z125" s="333"/>
      <c r="AA125" s="333"/>
      <c r="AB125" s="333"/>
      <c r="AC125" s="333"/>
      <c r="AD125" s="333"/>
      <c r="AE125" s="333"/>
      <c r="AF125" s="333"/>
      <c r="AG125" s="333"/>
      <c r="AH125" s="333"/>
      <c r="AI125" s="333"/>
    </row>
    <row r="126" spans="1:35" x14ac:dyDescent="0.2">
      <c r="A126" s="99"/>
      <c r="B126" s="138"/>
      <c r="C126" s="124"/>
      <c r="D126" s="138"/>
      <c r="E126" s="118"/>
      <c r="F126" s="162"/>
      <c r="G126" s="161"/>
      <c r="H126" s="118"/>
      <c r="I126" s="39"/>
      <c r="J126" s="39"/>
      <c r="K126" s="100"/>
      <c r="L126" s="39"/>
      <c r="M126" s="39"/>
      <c r="N126" s="39"/>
      <c r="O126" s="39"/>
      <c r="P126" s="39"/>
      <c r="Q126" s="97"/>
      <c r="R126" s="97"/>
      <c r="S126" s="97"/>
      <c r="T126" s="97"/>
      <c r="U126" s="333"/>
      <c r="V126" s="333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</row>
    <row r="127" spans="1:35" x14ac:dyDescent="0.2">
      <c r="A127" s="99"/>
      <c r="B127" s="138"/>
      <c r="C127" s="124"/>
      <c r="D127" s="138"/>
      <c r="E127" s="118"/>
      <c r="F127" s="162"/>
      <c r="G127" s="161"/>
      <c r="H127" s="118"/>
      <c r="I127" s="39"/>
      <c r="J127" s="39"/>
      <c r="K127" s="100"/>
      <c r="L127" s="39"/>
      <c r="M127" s="39"/>
      <c r="N127" s="39"/>
      <c r="O127" s="39"/>
      <c r="P127" s="39"/>
      <c r="Q127" s="90"/>
      <c r="R127" s="90"/>
      <c r="S127" s="90"/>
      <c r="T127" s="90"/>
      <c r="U127" s="333"/>
      <c r="V127" s="333"/>
      <c r="W127" s="333"/>
      <c r="X127" s="333"/>
      <c r="Y127" s="333"/>
      <c r="Z127" s="333"/>
      <c r="AA127" s="333"/>
      <c r="AB127" s="333"/>
      <c r="AC127" s="333"/>
      <c r="AD127" s="333"/>
      <c r="AE127" s="333"/>
      <c r="AF127" s="333"/>
      <c r="AG127" s="333"/>
      <c r="AH127" s="333"/>
      <c r="AI127" s="333"/>
    </row>
    <row r="128" spans="1:35" x14ac:dyDescent="0.2">
      <c r="A128" s="97"/>
      <c r="B128" s="138"/>
      <c r="C128" s="124"/>
      <c r="D128" s="138"/>
      <c r="E128" s="118"/>
      <c r="F128" s="162"/>
      <c r="G128" s="161"/>
      <c r="H128" s="118"/>
      <c r="I128" s="39"/>
      <c r="J128" s="39"/>
      <c r="K128" s="100"/>
      <c r="L128" s="39"/>
      <c r="M128" s="39"/>
      <c r="N128" s="39"/>
      <c r="O128" s="39"/>
      <c r="P128" s="39"/>
      <c r="Q128" s="90"/>
      <c r="R128" s="90"/>
      <c r="S128" s="90"/>
      <c r="T128" s="90"/>
      <c r="U128" s="333"/>
      <c r="V128" s="333"/>
      <c r="W128" s="333"/>
      <c r="X128" s="333"/>
      <c r="Y128" s="333"/>
      <c r="Z128" s="333"/>
      <c r="AA128" s="333"/>
      <c r="AB128" s="333"/>
      <c r="AC128" s="333"/>
      <c r="AD128" s="333"/>
      <c r="AE128" s="333"/>
      <c r="AF128" s="333"/>
      <c r="AG128" s="333"/>
      <c r="AH128" s="333"/>
      <c r="AI128" s="333"/>
    </row>
    <row r="129" spans="1:35" x14ac:dyDescent="0.2">
      <c r="A129" s="97"/>
      <c r="B129" s="138"/>
      <c r="C129" s="124"/>
      <c r="D129" s="138"/>
      <c r="E129" s="118"/>
      <c r="F129" s="162"/>
      <c r="G129" s="161"/>
      <c r="H129" s="118"/>
      <c r="I129" s="39"/>
      <c r="J129" s="39"/>
      <c r="K129" s="100"/>
      <c r="L129" s="39"/>
      <c r="M129" s="39"/>
      <c r="N129" s="39"/>
      <c r="O129" s="39"/>
      <c r="P129" s="39"/>
      <c r="Q129" s="138"/>
      <c r="R129" s="138"/>
      <c r="S129" s="138"/>
      <c r="T129" s="138"/>
      <c r="U129" s="333"/>
      <c r="V129" s="333"/>
      <c r="W129" s="333"/>
      <c r="X129" s="333"/>
      <c r="Y129" s="333"/>
      <c r="Z129" s="333"/>
      <c r="AA129" s="333"/>
      <c r="AB129" s="333"/>
      <c r="AC129" s="333"/>
      <c r="AD129" s="333"/>
      <c r="AE129" s="333"/>
      <c r="AF129" s="333"/>
      <c r="AG129" s="333"/>
      <c r="AH129" s="333"/>
      <c r="AI129" s="333"/>
    </row>
    <row r="130" spans="1:35" x14ac:dyDescent="0.2">
      <c r="A130" s="97"/>
      <c r="B130" s="138"/>
      <c r="C130" s="124"/>
      <c r="D130" s="138"/>
      <c r="E130" s="118"/>
      <c r="F130" s="162"/>
      <c r="G130" s="161"/>
      <c r="H130" s="118"/>
      <c r="I130" s="39"/>
      <c r="J130" s="39"/>
      <c r="K130" s="100"/>
      <c r="L130" s="39"/>
      <c r="M130" s="39"/>
      <c r="N130" s="39"/>
      <c r="O130" s="39"/>
      <c r="P130" s="39"/>
      <c r="Q130" s="90"/>
      <c r="R130" s="138"/>
      <c r="S130" s="90"/>
      <c r="T130" s="90"/>
      <c r="U130" s="333"/>
      <c r="V130" s="333"/>
      <c r="W130" s="333"/>
      <c r="X130" s="333"/>
      <c r="Y130" s="333"/>
      <c r="Z130" s="333"/>
      <c r="AA130" s="333"/>
      <c r="AB130" s="333"/>
      <c r="AC130" s="333"/>
      <c r="AD130" s="333"/>
      <c r="AE130" s="333"/>
      <c r="AF130" s="333"/>
      <c r="AG130" s="333"/>
      <c r="AH130" s="333"/>
      <c r="AI130" s="333"/>
    </row>
    <row r="131" spans="1:35" x14ac:dyDescent="0.2">
      <c r="A131" s="97"/>
      <c r="B131" s="138"/>
      <c r="C131" s="124"/>
      <c r="D131" s="96"/>
      <c r="E131" s="118"/>
      <c r="F131" s="162"/>
      <c r="G131" s="161"/>
      <c r="H131" s="118"/>
      <c r="I131" s="39"/>
      <c r="J131" s="39"/>
      <c r="K131" s="100"/>
      <c r="L131" s="39"/>
      <c r="M131" s="39"/>
      <c r="N131" s="39"/>
      <c r="O131" s="39"/>
      <c r="P131" s="39"/>
      <c r="Q131" s="119"/>
      <c r="R131" s="138"/>
      <c r="S131" s="90"/>
      <c r="T131" s="90"/>
      <c r="U131" s="333"/>
      <c r="V131" s="333"/>
      <c r="W131" s="333"/>
      <c r="X131" s="333"/>
      <c r="Y131" s="333"/>
      <c r="Z131" s="333"/>
      <c r="AA131" s="333"/>
      <c r="AB131" s="333"/>
      <c r="AC131" s="333"/>
      <c r="AD131" s="333"/>
      <c r="AE131" s="333"/>
      <c r="AF131" s="333"/>
      <c r="AG131" s="333"/>
      <c r="AH131" s="333"/>
      <c r="AI131" s="333"/>
    </row>
    <row r="132" spans="1:35" ht="14.25" x14ac:dyDescent="0.2">
      <c r="A132" s="97"/>
      <c r="B132" s="138"/>
      <c r="C132" s="124"/>
      <c r="D132" s="136"/>
      <c r="E132" s="118"/>
      <c r="F132" s="162"/>
      <c r="G132" s="161"/>
      <c r="H132" s="118"/>
      <c r="I132" s="39"/>
      <c r="J132" s="39"/>
      <c r="K132" s="100"/>
      <c r="L132" s="39"/>
      <c r="M132" s="39"/>
      <c r="N132" s="39"/>
      <c r="O132" s="39"/>
      <c r="P132" s="39"/>
      <c r="Q132" s="119"/>
      <c r="R132" s="39"/>
      <c r="S132" s="102"/>
      <c r="T132" s="102"/>
      <c r="U132" s="333"/>
      <c r="V132" s="333"/>
      <c r="W132" s="333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333"/>
    </row>
    <row r="133" spans="1:35" ht="14.25" x14ac:dyDescent="0.2">
      <c r="A133" s="97"/>
      <c r="B133" s="138"/>
      <c r="C133" s="124"/>
      <c r="D133" s="136"/>
      <c r="E133" s="118"/>
      <c r="F133" s="162"/>
      <c r="G133" s="161"/>
      <c r="H133" s="118"/>
      <c r="I133" s="39"/>
      <c r="J133" s="39"/>
      <c r="K133" s="100"/>
      <c r="L133" s="39"/>
      <c r="M133" s="39"/>
      <c r="N133" s="39"/>
      <c r="O133" s="39"/>
      <c r="P133" s="39"/>
      <c r="Q133" s="119"/>
      <c r="R133" s="39"/>
      <c r="S133" s="102"/>
      <c r="T133" s="102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</row>
    <row r="134" spans="1:35" x14ac:dyDescent="0.2">
      <c r="A134" s="97"/>
      <c r="B134" s="96"/>
      <c r="C134" s="115"/>
      <c r="D134" s="139"/>
      <c r="E134" s="96"/>
      <c r="F134" s="96"/>
      <c r="G134" s="96"/>
      <c r="H134" s="96"/>
      <c r="I134" s="96"/>
      <c r="J134" s="96"/>
      <c r="K134" s="96"/>
      <c r="L134" s="340"/>
      <c r="M134" s="39"/>
      <c r="N134" s="39"/>
      <c r="O134" s="39"/>
      <c r="P134" s="39"/>
      <c r="Q134" s="119"/>
      <c r="R134" s="39"/>
      <c r="S134" s="102"/>
      <c r="T134" s="102"/>
      <c r="U134" s="333"/>
      <c r="V134" s="333"/>
      <c r="W134" s="333"/>
      <c r="X134" s="333"/>
      <c r="Y134" s="333"/>
      <c r="Z134" s="333"/>
      <c r="AA134" s="333"/>
      <c r="AB134" s="333"/>
      <c r="AC134" s="333"/>
      <c r="AD134" s="333"/>
      <c r="AE134" s="333"/>
      <c r="AF134" s="333"/>
      <c r="AG134" s="333"/>
      <c r="AH134" s="333"/>
      <c r="AI134" s="333"/>
    </row>
    <row r="135" spans="1:35" ht="15" x14ac:dyDescent="0.25">
      <c r="A135" s="96"/>
      <c r="B135" s="135"/>
      <c r="C135" s="115"/>
      <c r="D135" s="138"/>
      <c r="E135" s="136"/>
      <c r="F135" s="136"/>
      <c r="G135" s="136"/>
      <c r="H135" s="136"/>
      <c r="I135" s="98"/>
      <c r="J135" s="138"/>
      <c r="K135" s="138"/>
      <c r="L135" s="138"/>
      <c r="M135" s="39"/>
      <c r="N135" s="39"/>
      <c r="O135" s="39"/>
      <c r="P135" s="39"/>
      <c r="Q135" s="119"/>
      <c r="R135" s="39"/>
      <c r="S135" s="102"/>
      <c r="T135" s="102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</row>
    <row r="136" spans="1:35" ht="15" x14ac:dyDescent="0.25">
      <c r="A136" s="96"/>
      <c r="B136" s="135"/>
      <c r="C136" s="136"/>
      <c r="D136" s="101"/>
      <c r="E136" s="136"/>
      <c r="F136" s="136"/>
      <c r="G136" s="136"/>
      <c r="H136" s="136"/>
      <c r="I136" s="98"/>
      <c r="J136" s="138"/>
      <c r="K136" s="138"/>
      <c r="L136" s="138"/>
      <c r="M136" s="39"/>
      <c r="N136" s="39"/>
      <c r="O136" s="39"/>
      <c r="P136" s="39"/>
      <c r="Q136" s="119"/>
      <c r="R136" s="39"/>
      <c r="S136" s="102"/>
      <c r="T136" s="102"/>
      <c r="U136" s="333"/>
      <c r="V136" s="333"/>
      <c r="W136" s="333"/>
      <c r="X136" s="333"/>
      <c r="Y136" s="333"/>
      <c r="Z136" s="333"/>
      <c r="AA136" s="333"/>
      <c r="AB136" s="333"/>
      <c r="AC136" s="333"/>
      <c r="AD136" s="333"/>
      <c r="AE136" s="333"/>
      <c r="AF136" s="333"/>
      <c r="AG136" s="333"/>
      <c r="AH136" s="333"/>
      <c r="AI136" s="333"/>
    </row>
    <row r="137" spans="1:35" x14ac:dyDescent="0.2">
      <c r="A137" s="99"/>
      <c r="B137" s="139"/>
      <c r="C137" s="139"/>
      <c r="D137" s="101"/>
      <c r="E137" s="139"/>
      <c r="F137" s="90"/>
      <c r="G137" s="103"/>
      <c r="H137" s="105"/>
      <c r="I137" s="90"/>
      <c r="J137" s="90"/>
      <c r="K137" s="90"/>
      <c r="L137" s="100"/>
      <c r="M137" s="39"/>
      <c r="N137" s="39"/>
      <c r="O137" s="39"/>
      <c r="P137" s="39"/>
      <c r="Q137" s="119"/>
      <c r="R137" s="39"/>
      <c r="S137" s="102"/>
      <c r="T137" s="102"/>
      <c r="U137" s="333"/>
      <c r="V137" s="333"/>
      <c r="W137" s="333"/>
      <c r="X137" s="333"/>
      <c r="Y137" s="333"/>
      <c r="Z137" s="333"/>
      <c r="AA137" s="333"/>
      <c r="AB137" s="333"/>
      <c r="AC137" s="333"/>
      <c r="AD137" s="333"/>
      <c r="AE137" s="333"/>
      <c r="AF137" s="333"/>
      <c r="AG137" s="333"/>
      <c r="AH137" s="333"/>
      <c r="AI137" s="333"/>
    </row>
    <row r="138" spans="1:35" x14ac:dyDescent="0.2">
      <c r="A138" s="104"/>
      <c r="B138" s="106"/>
      <c r="C138" s="137"/>
      <c r="D138" s="91"/>
      <c r="E138" s="108"/>
      <c r="F138" s="108"/>
      <c r="G138" s="109"/>
      <c r="H138" s="110"/>
      <c r="I138" s="110"/>
      <c r="J138" s="111"/>
      <c r="K138" s="90"/>
      <c r="L138" s="39"/>
      <c r="M138" s="90"/>
      <c r="N138" s="100"/>
      <c r="O138" s="108"/>
      <c r="P138" s="90"/>
      <c r="Q138" s="119"/>
      <c r="R138" s="39"/>
      <c r="S138" s="102"/>
      <c r="T138" s="102"/>
      <c r="U138" s="333"/>
      <c r="V138" s="333"/>
      <c r="W138" s="333"/>
      <c r="X138" s="333"/>
      <c r="Y138" s="333"/>
      <c r="Z138" s="333"/>
      <c r="AA138" s="333"/>
      <c r="AB138" s="333"/>
      <c r="AC138" s="333"/>
      <c r="AD138" s="333"/>
      <c r="AE138" s="333"/>
      <c r="AF138" s="333"/>
      <c r="AG138" s="333"/>
      <c r="AH138" s="333"/>
      <c r="AI138" s="333"/>
    </row>
    <row r="139" spans="1:35" x14ac:dyDescent="0.2">
      <c r="A139" s="104"/>
      <c r="B139" s="109"/>
      <c r="C139" s="112"/>
      <c r="D139" s="91"/>
      <c r="E139" s="109"/>
      <c r="F139" s="108"/>
      <c r="G139" s="109"/>
      <c r="H139" s="108"/>
      <c r="I139" s="108"/>
      <c r="J139" s="113"/>
      <c r="K139" s="90"/>
      <c r="L139" s="39"/>
      <c r="M139" s="183"/>
      <c r="N139" s="183"/>
      <c r="O139" s="114"/>
      <c r="P139" s="90"/>
      <c r="Q139" s="119"/>
      <c r="R139" s="39"/>
      <c r="S139" s="102"/>
      <c r="T139" s="102"/>
      <c r="U139" s="333"/>
      <c r="V139" s="333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</row>
    <row r="140" spans="1:35" x14ac:dyDescent="0.2">
      <c r="A140" s="104"/>
      <c r="B140" s="138"/>
      <c r="C140" s="115"/>
      <c r="D140" s="96"/>
      <c r="E140" s="39"/>
      <c r="F140" s="116"/>
      <c r="G140" s="90"/>
      <c r="H140" s="39"/>
      <c r="I140" s="39"/>
      <c r="J140" s="100"/>
      <c r="K140" s="90"/>
      <c r="L140" s="39"/>
      <c r="M140" s="138"/>
      <c r="N140" s="100"/>
      <c r="O140" s="117"/>
      <c r="P140" s="138"/>
      <c r="Q140" s="119"/>
      <c r="R140" s="39"/>
      <c r="S140" s="102"/>
      <c r="T140" s="102"/>
      <c r="U140" s="333"/>
      <c r="V140" s="333"/>
      <c r="W140" s="333"/>
      <c r="X140" s="333"/>
      <c r="Y140" s="333"/>
      <c r="Z140" s="333"/>
      <c r="AA140" s="333"/>
      <c r="AB140" s="333"/>
      <c r="AC140" s="333"/>
      <c r="AD140" s="333"/>
      <c r="AE140" s="333"/>
      <c r="AF140" s="333"/>
      <c r="AG140" s="333"/>
      <c r="AH140" s="333"/>
      <c r="AI140" s="333"/>
    </row>
    <row r="141" spans="1:35" x14ac:dyDescent="0.2">
      <c r="A141" s="340"/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203"/>
      <c r="M141" s="203"/>
      <c r="N141" s="39"/>
      <c r="O141" s="118"/>
      <c r="P141" s="90"/>
      <c r="Q141" s="119"/>
      <c r="R141" s="39"/>
      <c r="S141" s="102"/>
      <c r="T141" s="102"/>
      <c r="U141" s="333"/>
      <c r="V141" s="333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333"/>
    </row>
    <row r="142" spans="1:35" ht="15" x14ac:dyDescent="0.25">
      <c r="A142" s="340"/>
      <c r="B142" s="334"/>
      <c r="C142" s="335"/>
      <c r="D142" s="335"/>
      <c r="E142" s="335"/>
      <c r="F142" s="335"/>
      <c r="G142" s="335"/>
      <c r="H142" s="335"/>
      <c r="I142" s="333"/>
      <c r="J142" s="340"/>
      <c r="K142" s="340"/>
      <c r="L142" s="340"/>
      <c r="M142" s="39"/>
      <c r="N142" s="39"/>
      <c r="O142" s="118"/>
      <c r="P142" s="90"/>
      <c r="Q142" s="119"/>
      <c r="R142" s="39"/>
      <c r="S142" s="102"/>
      <c r="T142" s="102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</row>
    <row r="143" spans="1:35" x14ac:dyDescent="0.2">
      <c r="A143" s="104"/>
      <c r="B143" s="270"/>
      <c r="C143" s="288"/>
      <c r="D143" s="288"/>
      <c r="E143" s="270"/>
      <c r="F143" s="333"/>
      <c r="G143" s="103"/>
      <c r="H143" s="105"/>
      <c r="I143" s="333"/>
      <c r="J143" s="333"/>
      <c r="K143" s="289"/>
      <c r="L143" s="340"/>
      <c r="M143" s="340"/>
      <c r="N143" s="39"/>
      <c r="O143" s="118"/>
      <c r="P143" s="90"/>
      <c r="Q143" s="119"/>
      <c r="R143" s="39"/>
      <c r="S143" s="102"/>
      <c r="T143" s="102"/>
      <c r="U143" s="333"/>
      <c r="V143" s="333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</row>
    <row r="144" spans="1:35" x14ac:dyDescent="0.2">
      <c r="A144" s="104"/>
      <c r="B144" s="106"/>
      <c r="C144" s="137"/>
      <c r="D144" s="340"/>
      <c r="E144" s="109"/>
      <c r="F144" s="109"/>
      <c r="G144" s="110"/>
      <c r="H144" s="110"/>
      <c r="I144" s="111"/>
      <c r="J144" s="177"/>
      <c r="K144" s="340"/>
      <c r="L144" s="340"/>
      <c r="M144" s="203"/>
      <c r="N144" s="39"/>
      <c r="O144" s="118"/>
      <c r="P144" s="90"/>
      <c r="Q144" s="119"/>
      <c r="R144" s="39"/>
      <c r="S144" s="102"/>
      <c r="T144" s="102"/>
      <c r="U144" s="333"/>
      <c r="V144" s="333"/>
      <c r="W144" s="333"/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333"/>
    </row>
    <row r="145" spans="1:35" x14ac:dyDescent="0.2">
      <c r="A145" s="104"/>
      <c r="B145" s="109"/>
      <c r="C145" s="195"/>
      <c r="D145" s="194"/>
      <c r="E145" s="339"/>
      <c r="F145" s="109"/>
      <c r="G145" s="339"/>
      <c r="H145" s="339"/>
      <c r="I145" s="113"/>
      <c r="J145" s="274"/>
      <c r="K145" s="252"/>
      <c r="L145" s="139"/>
      <c r="M145" s="203"/>
      <c r="N145" s="39"/>
      <c r="O145" s="118"/>
      <c r="P145" s="90"/>
      <c r="Q145" s="119"/>
      <c r="R145" s="39"/>
      <c r="S145" s="102"/>
      <c r="T145" s="102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</row>
    <row r="146" spans="1:35" x14ac:dyDescent="0.2">
      <c r="A146" s="104"/>
      <c r="B146" s="340"/>
      <c r="C146" s="115"/>
      <c r="D146" s="101"/>
      <c r="E146" s="192"/>
      <c r="F146" s="333"/>
      <c r="G146" s="39"/>
      <c r="H146" s="39"/>
      <c r="I146" s="100"/>
      <c r="J146" s="333"/>
      <c r="K146" s="333"/>
      <c r="L146" s="333"/>
      <c r="M146" s="333"/>
      <c r="N146" s="39"/>
      <c r="O146" s="118"/>
      <c r="P146" s="90"/>
      <c r="Q146" s="119"/>
      <c r="R146" s="90"/>
      <c r="S146" s="102"/>
      <c r="T146" s="102"/>
      <c r="U146" s="333"/>
      <c r="V146" s="333"/>
      <c r="W146" s="333"/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</row>
    <row r="147" spans="1:35" x14ac:dyDescent="0.2">
      <c r="A147" s="104"/>
      <c r="B147" s="340"/>
      <c r="C147" s="115"/>
      <c r="D147" s="91"/>
      <c r="E147" s="192"/>
      <c r="F147" s="39"/>
      <c r="G147" s="39"/>
      <c r="H147" s="39"/>
      <c r="I147" s="100"/>
      <c r="J147" s="119"/>
      <c r="K147" s="325"/>
      <c r="L147" s="252"/>
      <c r="M147" s="333"/>
      <c r="N147" s="39"/>
      <c r="O147" s="118"/>
      <c r="P147" s="90"/>
      <c r="Q147" s="90"/>
      <c r="R147" s="90"/>
      <c r="S147" s="90"/>
      <c r="T147" s="90"/>
      <c r="U147" s="333"/>
      <c r="V147" s="333"/>
      <c r="W147" s="333"/>
      <c r="X147" s="333"/>
      <c r="Y147" s="333"/>
      <c r="Z147" s="333"/>
      <c r="AA147" s="333"/>
      <c r="AB147" s="333"/>
      <c r="AC147" s="333"/>
      <c r="AD147" s="333"/>
      <c r="AE147" s="333"/>
      <c r="AF147" s="333"/>
      <c r="AG147" s="333"/>
      <c r="AH147" s="333"/>
      <c r="AI147" s="333"/>
    </row>
    <row r="148" spans="1:35" x14ac:dyDescent="0.2">
      <c r="A148" s="104"/>
      <c r="B148" s="340"/>
      <c r="C148" s="115"/>
      <c r="D148" s="91"/>
      <c r="E148" s="192"/>
      <c r="F148" s="39"/>
      <c r="G148" s="39"/>
      <c r="H148" s="39"/>
      <c r="I148" s="100"/>
      <c r="J148" s="279"/>
      <c r="K148" s="271"/>
      <c r="L148" s="271"/>
      <c r="M148" s="333"/>
      <c r="N148" s="39"/>
      <c r="O148" s="118"/>
      <c r="P148" s="90"/>
      <c r="Q148" s="90"/>
      <c r="R148" s="90"/>
      <c r="S148" s="90"/>
      <c r="T148" s="90"/>
      <c r="U148" s="333"/>
      <c r="V148" s="333"/>
      <c r="W148" s="333"/>
      <c r="X148" s="333"/>
      <c r="Y148" s="333"/>
      <c r="Z148" s="333"/>
      <c r="AA148" s="333"/>
      <c r="AB148" s="333"/>
      <c r="AC148" s="333"/>
      <c r="AD148" s="333"/>
      <c r="AE148" s="333"/>
      <c r="AF148" s="333"/>
      <c r="AG148" s="333"/>
      <c r="AH148" s="333"/>
      <c r="AI148" s="333"/>
    </row>
    <row r="149" spans="1:35" x14ac:dyDescent="0.2">
      <c r="A149" s="104"/>
      <c r="B149" s="340"/>
      <c r="C149" s="115"/>
      <c r="D149" s="91"/>
      <c r="E149" s="192"/>
      <c r="F149" s="39"/>
      <c r="G149" s="39"/>
      <c r="H149" s="39"/>
      <c r="I149" s="100"/>
      <c r="J149" s="279"/>
      <c r="K149" s="271"/>
      <c r="L149" s="271"/>
      <c r="M149" s="340"/>
      <c r="N149" s="39"/>
      <c r="O149" s="118"/>
      <c r="P149" s="90"/>
      <c r="Q149" s="90"/>
      <c r="R149" s="90"/>
      <c r="S149" s="90"/>
      <c r="T149" s="90"/>
      <c r="U149" s="333"/>
      <c r="V149" s="333"/>
      <c r="W149" s="333"/>
      <c r="X149" s="333"/>
      <c r="Y149" s="333"/>
      <c r="Z149" s="333"/>
      <c r="AA149" s="333"/>
      <c r="AB149" s="333"/>
      <c r="AC149" s="333"/>
      <c r="AD149" s="333"/>
      <c r="AE149" s="333"/>
      <c r="AF149" s="333"/>
      <c r="AG149" s="333"/>
      <c r="AH149" s="333"/>
      <c r="AI149" s="333"/>
    </row>
    <row r="150" spans="1:35" x14ac:dyDescent="0.2">
      <c r="A150" s="104"/>
      <c r="B150" s="340"/>
      <c r="C150" s="115"/>
      <c r="D150" s="91"/>
      <c r="E150" s="192"/>
      <c r="F150" s="39"/>
      <c r="G150" s="39"/>
      <c r="H150" s="39"/>
      <c r="I150" s="100"/>
      <c r="J150" s="119"/>
      <c r="K150" s="102"/>
      <c r="L150" s="102"/>
      <c r="M150" s="102"/>
      <c r="N150" s="39"/>
      <c r="O150" s="118"/>
      <c r="P150" s="90"/>
      <c r="Q150" s="90"/>
      <c r="R150" s="4"/>
      <c r="S150" s="90"/>
      <c r="T150" s="90"/>
      <c r="U150" s="333"/>
      <c r="V150" s="333"/>
      <c r="W150" s="333"/>
      <c r="X150" s="333"/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</row>
    <row r="151" spans="1:35" x14ac:dyDescent="0.2">
      <c r="A151" s="104"/>
      <c r="B151" s="340"/>
      <c r="C151" s="115"/>
      <c r="D151" s="91"/>
      <c r="E151" s="192"/>
      <c r="F151" s="39"/>
      <c r="G151" s="39"/>
      <c r="H151" s="39"/>
      <c r="I151" s="100"/>
      <c r="J151" s="119"/>
      <c r="K151" s="102"/>
      <c r="L151" s="102"/>
      <c r="M151" s="102"/>
      <c r="N151" s="39"/>
      <c r="O151" s="118"/>
      <c r="P151" s="90"/>
      <c r="Q151" s="4"/>
      <c r="R151" s="4"/>
      <c r="S151" s="4"/>
      <c r="T151" s="4"/>
      <c r="U151" s="333"/>
      <c r="V151" s="333"/>
      <c r="W151" s="333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</row>
    <row r="152" spans="1:35" x14ac:dyDescent="0.2">
      <c r="A152" s="104"/>
      <c r="B152" s="340"/>
      <c r="C152" s="115"/>
      <c r="D152" s="91"/>
      <c r="E152" s="192"/>
      <c r="F152" s="39"/>
      <c r="G152" s="39"/>
      <c r="H152" s="39"/>
      <c r="I152" s="100"/>
      <c r="J152" s="119"/>
      <c r="K152" s="102"/>
      <c r="L152" s="102"/>
      <c r="M152" s="102"/>
      <c r="N152" s="39"/>
      <c r="O152" s="118"/>
      <c r="P152" s="90"/>
      <c r="Q152" s="4"/>
      <c r="R152" s="4"/>
      <c r="S152" s="4"/>
      <c r="T152" s="4"/>
      <c r="U152" s="333"/>
      <c r="V152" s="333"/>
      <c r="W152" s="333"/>
      <c r="X152" s="333"/>
      <c r="Y152" s="333"/>
      <c r="Z152" s="333"/>
      <c r="AA152" s="333"/>
      <c r="AB152" s="333"/>
      <c r="AC152" s="333"/>
    </row>
    <row r="153" spans="1:35" x14ac:dyDescent="0.2">
      <c r="A153" s="104"/>
      <c r="B153" s="340"/>
      <c r="C153" s="115"/>
      <c r="D153" s="91"/>
      <c r="E153" s="192"/>
      <c r="F153" s="39"/>
      <c r="G153" s="39"/>
      <c r="H153" s="39"/>
      <c r="I153" s="100"/>
      <c r="J153" s="119"/>
      <c r="K153" s="102"/>
      <c r="L153" s="102"/>
      <c r="M153" s="102"/>
      <c r="N153" s="39"/>
      <c r="O153" s="118"/>
      <c r="P153" s="90"/>
      <c r="Q153" s="4"/>
      <c r="R153" s="4"/>
      <c r="S153" s="4"/>
      <c r="T153" s="4"/>
      <c r="U153" s="333"/>
      <c r="V153" s="333"/>
      <c r="W153" s="333"/>
      <c r="X153" s="333"/>
      <c r="Y153" s="333"/>
      <c r="Z153" s="333"/>
      <c r="AA153" s="333"/>
      <c r="AB153" s="333"/>
      <c r="AC153" s="333"/>
    </row>
    <row r="154" spans="1:35" x14ac:dyDescent="0.2">
      <c r="A154" s="104"/>
      <c r="B154" s="340"/>
      <c r="C154" s="115"/>
      <c r="D154" s="91"/>
      <c r="E154" s="192"/>
      <c r="F154" s="39"/>
      <c r="G154" s="39"/>
      <c r="H154" s="39"/>
      <c r="I154" s="100"/>
      <c r="J154" s="119"/>
      <c r="K154" s="102"/>
      <c r="L154" s="102"/>
      <c r="M154" s="102"/>
      <c r="N154" s="39"/>
      <c r="O154" s="118"/>
      <c r="P154" s="90"/>
      <c r="Q154" s="4"/>
      <c r="R154" s="4"/>
      <c r="S154" s="4"/>
      <c r="T154" s="4"/>
      <c r="U154" s="333"/>
      <c r="V154" s="333"/>
      <c r="W154" s="333"/>
      <c r="X154" s="333"/>
      <c r="Y154" s="333"/>
      <c r="Z154" s="333"/>
      <c r="AA154" s="333"/>
      <c r="AB154" s="333"/>
      <c r="AC154" s="333"/>
    </row>
    <row r="155" spans="1:35" x14ac:dyDescent="0.2">
      <c r="A155" s="104"/>
      <c r="B155" s="340"/>
      <c r="C155" s="115"/>
      <c r="D155" s="91"/>
      <c r="E155" s="192"/>
      <c r="F155" s="39"/>
      <c r="G155" s="39"/>
      <c r="H155" s="39"/>
      <c r="I155" s="100"/>
      <c r="J155" s="119"/>
      <c r="K155" s="102"/>
      <c r="L155" s="102"/>
      <c r="M155" s="102"/>
      <c r="N155" s="39"/>
      <c r="O155" s="118"/>
      <c r="P155" s="90"/>
      <c r="Q155" s="4"/>
      <c r="R155" s="4"/>
      <c r="S155" s="4"/>
      <c r="T155" s="4"/>
      <c r="U155" s="333"/>
      <c r="V155" s="333"/>
      <c r="W155" s="333"/>
      <c r="X155" s="333"/>
      <c r="Y155" s="333"/>
      <c r="Z155" s="333"/>
      <c r="AA155" s="333"/>
      <c r="AB155" s="333"/>
      <c r="AC155" s="333"/>
    </row>
    <row r="156" spans="1:35" x14ac:dyDescent="0.2">
      <c r="A156" s="104"/>
      <c r="B156" s="340"/>
      <c r="C156" s="115"/>
      <c r="D156" s="91"/>
      <c r="E156" s="192"/>
      <c r="F156" s="39"/>
      <c r="G156" s="39"/>
      <c r="H156" s="39"/>
      <c r="I156" s="100"/>
      <c r="J156" s="119"/>
      <c r="K156" s="102"/>
      <c r="L156" s="102"/>
      <c r="M156" s="102"/>
      <c r="N156" s="39"/>
      <c r="O156" s="118"/>
      <c r="P156" s="90"/>
      <c r="Q156" s="4"/>
      <c r="R156" s="4"/>
      <c r="S156" s="4"/>
      <c r="T156" s="4"/>
      <c r="U156" s="333"/>
      <c r="V156" s="333"/>
      <c r="W156" s="333"/>
      <c r="X156" s="333"/>
      <c r="Y156" s="333"/>
      <c r="Z156" s="333"/>
      <c r="AA156" s="333"/>
      <c r="AB156" s="333"/>
      <c r="AC156" s="333"/>
    </row>
    <row r="157" spans="1:35" x14ac:dyDescent="0.2">
      <c r="A157" s="104"/>
      <c r="B157" s="340"/>
      <c r="C157" s="115"/>
      <c r="D157" s="91"/>
      <c r="E157" s="192"/>
      <c r="F157" s="39"/>
      <c r="G157" s="39"/>
      <c r="H157" s="39"/>
      <c r="I157" s="100"/>
      <c r="J157" s="119"/>
      <c r="K157" s="102"/>
      <c r="L157" s="102"/>
      <c r="M157" s="102"/>
      <c r="N157" s="333"/>
      <c r="O157" s="90"/>
      <c r="P157" s="90"/>
      <c r="Q157" s="4"/>
      <c r="R157" s="4"/>
      <c r="S157" s="4"/>
      <c r="T157" s="4"/>
      <c r="U157" s="333"/>
      <c r="V157" s="333"/>
      <c r="W157" s="333"/>
      <c r="X157" s="333"/>
      <c r="Y157" s="333"/>
      <c r="Z157" s="333"/>
      <c r="AA157" s="333"/>
      <c r="AB157" s="333"/>
      <c r="AC157" s="333"/>
    </row>
    <row r="158" spans="1:35" x14ac:dyDescent="0.2">
      <c r="A158" s="104"/>
      <c r="B158" s="340"/>
      <c r="C158" s="115"/>
      <c r="D158" s="91"/>
      <c r="E158" s="192"/>
      <c r="F158" s="39"/>
      <c r="G158" s="39"/>
      <c r="H158" s="39"/>
      <c r="I158" s="100"/>
      <c r="J158" s="119"/>
      <c r="K158" s="102"/>
      <c r="L158" s="102"/>
      <c r="M158" s="102"/>
      <c r="N158" s="333"/>
      <c r="O158" s="90"/>
      <c r="P158" s="90"/>
      <c r="Q158" s="4"/>
      <c r="R158" s="4"/>
      <c r="S158" s="4"/>
      <c r="T158" s="4"/>
      <c r="U158" s="333"/>
      <c r="V158" s="333"/>
      <c r="W158" s="333"/>
      <c r="X158" s="333"/>
      <c r="Y158" s="333"/>
      <c r="Z158" s="333"/>
      <c r="AA158" s="333"/>
      <c r="AB158" s="333"/>
      <c r="AC158" s="333"/>
    </row>
    <row r="159" spans="1:35" x14ac:dyDescent="0.2">
      <c r="A159" s="104"/>
      <c r="B159" s="340"/>
      <c r="C159" s="115"/>
      <c r="D159" s="91"/>
      <c r="E159" s="192"/>
      <c r="F159" s="39"/>
      <c r="G159" s="39"/>
      <c r="H159" s="39"/>
      <c r="I159" s="100"/>
      <c r="J159" s="119"/>
      <c r="K159" s="102"/>
      <c r="L159" s="102"/>
      <c r="M159" s="102"/>
      <c r="N159" s="333"/>
      <c r="O159" s="90"/>
      <c r="P159" s="90"/>
      <c r="Q159" s="4"/>
      <c r="R159" s="4"/>
      <c r="S159" s="4"/>
      <c r="T159" s="4"/>
      <c r="U159" s="333"/>
      <c r="V159" s="333"/>
      <c r="W159" s="333"/>
      <c r="X159" s="333"/>
      <c r="Y159" s="333"/>
      <c r="Z159" s="333"/>
      <c r="AA159" s="333"/>
      <c r="AB159" s="333"/>
      <c r="AC159" s="333"/>
    </row>
    <row r="160" spans="1:35" x14ac:dyDescent="0.2">
      <c r="A160" s="104"/>
      <c r="B160" s="340"/>
      <c r="C160" s="115"/>
      <c r="D160" s="91"/>
      <c r="E160" s="192"/>
      <c r="F160" s="39"/>
      <c r="G160" s="39"/>
      <c r="H160" s="39"/>
      <c r="I160" s="100"/>
      <c r="J160" s="119"/>
      <c r="K160" s="102"/>
      <c r="L160" s="102"/>
      <c r="M160" s="102"/>
      <c r="N160" s="333"/>
      <c r="O160" s="90"/>
      <c r="P160" s="90"/>
      <c r="Q160" s="4"/>
      <c r="R160" s="4"/>
      <c r="S160" s="4"/>
      <c r="U160" s="333"/>
      <c r="V160" s="333"/>
      <c r="W160" s="333"/>
      <c r="X160" s="333"/>
      <c r="Y160" s="333"/>
      <c r="Z160" s="333"/>
      <c r="AA160" s="333"/>
      <c r="AB160" s="333"/>
      <c r="AC160" s="333"/>
    </row>
    <row r="161" spans="1:29" x14ac:dyDescent="0.2">
      <c r="A161" s="104"/>
      <c r="B161" s="340"/>
      <c r="C161" s="115"/>
      <c r="D161" s="91"/>
      <c r="E161" s="192"/>
      <c r="F161" s="39"/>
      <c r="G161" s="39"/>
      <c r="H161" s="39"/>
      <c r="I161" s="100"/>
      <c r="J161" s="119"/>
      <c r="K161" s="102"/>
      <c r="L161" s="102"/>
      <c r="M161" s="102"/>
      <c r="N161" s="333"/>
      <c r="O161" s="4"/>
      <c r="P161" s="4"/>
      <c r="Q161" s="4"/>
      <c r="R161" s="4"/>
      <c r="S161" s="4"/>
      <c r="U161" s="333"/>
      <c r="V161" s="333"/>
      <c r="W161" s="333"/>
      <c r="X161" s="333"/>
      <c r="Y161" s="333"/>
      <c r="Z161" s="333"/>
      <c r="AA161" s="333"/>
      <c r="AB161" s="333"/>
      <c r="AC161" s="333"/>
    </row>
    <row r="162" spans="1:29" x14ac:dyDescent="0.2">
      <c r="A162" s="104"/>
      <c r="B162" s="340"/>
      <c r="C162" s="115"/>
      <c r="D162" s="91"/>
      <c r="E162" s="192"/>
      <c r="F162" s="39"/>
      <c r="G162" s="39"/>
      <c r="H162" s="39"/>
      <c r="I162" s="100"/>
      <c r="J162" s="119"/>
      <c r="K162" s="102"/>
      <c r="L162" s="102"/>
      <c r="M162" s="102"/>
      <c r="N162" s="333"/>
      <c r="O162" s="4"/>
      <c r="P162" s="4"/>
      <c r="Q162" s="4"/>
      <c r="R162" s="4"/>
      <c r="S162" s="4"/>
      <c r="U162" s="333"/>
      <c r="V162" s="333"/>
      <c r="W162" s="333"/>
      <c r="X162" s="333"/>
      <c r="Y162" s="333"/>
      <c r="Z162" s="333"/>
      <c r="AA162" s="333"/>
      <c r="AB162" s="333"/>
      <c r="AC162" s="333"/>
    </row>
    <row r="163" spans="1:29" x14ac:dyDescent="0.2">
      <c r="A163" s="104"/>
      <c r="B163" s="339"/>
      <c r="C163" s="120"/>
      <c r="D163" s="274"/>
      <c r="E163" s="122"/>
      <c r="F163" s="196"/>
      <c r="G163" s="197"/>
      <c r="H163" s="204"/>
      <c r="I163" s="342"/>
      <c r="J163" s="342"/>
      <c r="K163" s="342"/>
      <c r="L163" s="342"/>
      <c r="M163" s="342"/>
      <c r="N163" s="333"/>
      <c r="O163" s="4"/>
      <c r="P163" s="4"/>
      <c r="Q163" s="4"/>
      <c r="R163" s="4"/>
      <c r="S163" s="4"/>
      <c r="AB163" s="333"/>
      <c r="AC163" s="333"/>
    </row>
    <row r="164" spans="1:29" x14ac:dyDescent="0.2">
      <c r="A164" s="104"/>
      <c r="B164" s="343"/>
      <c r="C164" s="333"/>
      <c r="D164" s="333"/>
      <c r="E164" s="39"/>
      <c r="F164" s="338"/>
      <c r="G164" s="39"/>
      <c r="H164" s="333"/>
      <c r="I164" s="333"/>
      <c r="J164" s="333"/>
      <c r="K164" s="333"/>
      <c r="L164" s="162"/>
      <c r="M164" s="333"/>
      <c r="N164" s="333"/>
      <c r="O164" s="4"/>
      <c r="P164" s="4"/>
      <c r="Q164" s="4"/>
      <c r="S164" s="4"/>
    </row>
    <row r="165" spans="1:29" x14ac:dyDescent="0.2">
      <c r="A165" s="104"/>
      <c r="B165" s="340"/>
      <c r="C165" s="124"/>
      <c r="D165" s="139"/>
      <c r="E165" s="125"/>
      <c r="F165" s="201"/>
      <c r="G165" s="281"/>
      <c r="H165" s="204"/>
      <c r="I165" s="342"/>
      <c r="J165" s="342"/>
      <c r="K165" s="333"/>
      <c r="L165" s="333"/>
      <c r="M165" s="333"/>
      <c r="N165" s="333"/>
      <c r="O165" s="4"/>
      <c r="P165" s="4"/>
    </row>
    <row r="166" spans="1:29" x14ac:dyDescent="0.2">
      <c r="A166" s="104"/>
      <c r="B166" s="340"/>
      <c r="C166" s="115"/>
      <c r="D166" s="333"/>
      <c r="E166" s="39"/>
      <c r="F166" s="116"/>
      <c r="G166" s="39"/>
      <c r="H166" s="39"/>
      <c r="I166" s="39"/>
      <c r="J166" s="100"/>
      <c r="K166" s="333"/>
      <c r="L166" s="333"/>
      <c r="M166" s="333"/>
      <c r="N166" s="333"/>
      <c r="O166" s="4"/>
      <c r="P166" s="4"/>
    </row>
    <row r="167" spans="1:29" x14ac:dyDescent="0.2">
      <c r="A167" s="104"/>
      <c r="B167" s="340"/>
      <c r="C167" s="115"/>
      <c r="D167" s="333"/>
      <c r="E167" s="39"/>
      <c r="F167" s="116"/>
      <c r="G167" s="39"/>
      <c r="H167" s="39"/>
      <c r="I167" s="39"/>
      <c r="J167" s="100"/>
      <c r="K167" s="333"/>
      <c r="L167" s="333"/>
      <c r="M167" s="333"/>
      <c r="N167" s="333"/>
      <c r="O167" s="4"/>
      <c r="P167" s="4"/>
    </row>
    <row r="168" spans="1:29" x14ac:dyDescent="0.2">
      <c r="A168" s="104"/>
      <c r="B168" s="340"/>
      <c r="C168" s="115"/>
      <c r="D168" s="333"/>
      <c r="E168" s="39"/>
      <c r="F168" s="116"/>
      <c r="G168" s="39"/>
      <c r="H168" s="39"/>
      <c r="I168" s="39"/>
      <c r="J168" s="100"/>
      <c r="K168" s="333"/>
      <c r="L168" s="333"/>
      <c r="M168" s="333"/>
      <c r="N168" s="333"/>
      <c r="O168" s="4"/>
      <c r="P168" s="4"/>
    </row>
    <row r="169" spans="1:29" x14ac:dyDescent="0.2">
      <c r="A169" s="104"/>
      <c r="B169" s="340"/>
      <c r="C169" s="115"/>
      <c r="D169" s="333"/>
      <c r="E169" s="39"/>
      <c r="F169" s="116"/>
      <c r="G169" s="39"/>
      <c r="H169" s="39"/>
      <c r="I169" s="39"/>
      <c r="J169" s="100"/>
      <c r="K169" s="333"/>
      <c r="L169" s="333"/>
      <c r="M169" s="333"/>
      <c r="N169" s="333"/>
      <c r="O169" s="4"/>
      <c r="P169" s="4"/>
    </row>
    <row r="170" spans="1:29" x14ac:dyDescent="0.2">
      <c r="A170" s="104"/>
      <c r="B170" s="339"/>
      <c r="C170" s="120"/>
      <c r="D170" s="340"/>
      <c r="E170" s="121"/>
      <c r="F170" s="122"/>
      <c r="G170" s="196"/>
      <c r="H170" s="197"/>
      <c r="I170" s="341"/>
      <c r="J170" s="342"/>
      <c r="K170" s="342"/>
      <c r="L170" s="333"/>
      <c r="M170" s="333"/>
      <c r="N170" s="333"/>
      <c r="O170" s="4"/>
      <c r="P170" s="4"/>
    </row>
    <row r="171" spans="1:29" ht="14.25" x14ac:dyDescent="0.2">
      <c r="A171" s="292"/>
      <c r="B171" s="333"/>
      <c r="C171" s="115"/>
      <c r="D171" s="335"/>
      <c r="E171" s="333"/>
      <c r="F171" s="333"/>
      <c r="G171" s="333"/>
      <c r="H171" s="333"/>
      <c r="I171" s="333"/>
      <c r="J171" s="333"/>
      <c r="K171" s="333"/>
      <c r="L171" s="333"/>
      <c r="M171" s="333"/>
      <c r="N171" s="333"/>
      <c r="O171" s="4"/>
      <c r="P171" s="4"/>
    </row>
    <row r="172" spans="1:29" ht="14.25" x14ac:dyDescent="0.2">
      <c r="A172" s="292"/>
      <c r="B172" s="333"/>
      <c r="C172" s="115"/>
      <c r="D172" s="335"/>
      <c r="E172" s="293"/>
      <c r="F172" s="333"/>
      <c r="G172" s="333"/>
      <c r="H172" s="333"/>
      <c r="I172" s="333"/>
      <c r="J172" s="333"/>
      <c r="K172" s="333"/>
      <c r="L172" s="333"/>
      <c r="M172" s="333"/>
      <c r="N172" s="333"/>
      <c r="O172" s="4"/>
      <c r="P172" s="4"/>
    </row>
    <row r="173" spans="1:29" x14ac:dyDescent="0.2">
      <c r="A173" s="104"/>
      <c r="B173" s="340"/>
      <c r="C173" s="340"/>
      <c r="D173" s="139"/>
      <c r="E173" s="340"/>
      <c r="F173" s="340"/>
      <c r="G173" s="284"/>
      <c r="H173" s="191"/>
      <c r="I173" s="286"/>
      <c r="J173" s="252"/>
      <c r="K173" s="252"/>
      <c r="L173" s="333"/>
      <c r="M173" s="333"/>
      <c r="N173" s="333"/>
      <c r="O173" s="4"/>
      <c r="P173" s="4"/>
    </row>
    <row r="174" spans="1:29" ht="15" x14ac:dyDescent="0.25">
      <c r="A174" s="104"/>
      <c r="B174" s="337"/>
      <c r="C174" s="335"/>
      <c r="D174" s="340"/>
      <c r="E174" s="335"/>
      <c r="F174" s="335"/>
      <c r="G174" s="285"/>
      <c r="H174" s="286"/>
      <c r="I174" s="287"/>
      <c r="J174" s="286"/>
      <c r="K174" s="156"/>
      <c r="L174" s="333"/>
      <c r="M174" s="333"/>
      <c r="N174" s="333"/>
      <c r="O174" s="4"/>
      <c r="P174" s="4"/>
    </row>
    <row r="175" spans="1:29" ht="15" x14ac:dyDescent="0.25">
      <c r="A175" s="104"/>
      <c r="B175" s="337"/>
      <c r="C175" s="335"/>
      <c r="D175" s="194"/>
      <c r="E175" s="335"/>
      <c r="F175" s="335"/>
      <c r="G175" s="338"/>
      <c r="H175" s="338"/>
      <c r="I175" s="338"/>
      <c r="J175" s="338"/>
      <c r="K175" s="156"/>
      <c r="L175" s="333"/>
      <c r="M175" s="333"/>
      <c r="N175" s="333"/>
    </row>
    <row r="176" spans="1:29" x14ac:dyDescent="0.2">
      <c r="A176" s="104"/>
      <c r="B176" s="139"/>
      <c r="C176" s="139"/>
      <c r="D176" s="191"/>
      <c r="E176" s="139"/>
      <c r="F176" s="198"/>
      <c r="G176" s="202"/>
      <c r="H176" s="202"/>
      <c r="I176" s="202"/>
      <c r="J176" s="333"/>
      <c r="K176" s="156"/>
      <c r="L176" s="333"/>
      <c r="M176" s="333"/>
      <c r="N176" s="333"/>
    </row>
    <row r="177" spans="1:14" x14ac:dyDescent="0.2">
      <c r="A177" s="104"/>
      <c r="B177" s="106"/>
      <c r="C177" s="137"/>
      <c r="D177" s="191"/>
      <c r="E177" s="339"/>
      <c r="F177" s="339"/>
      <c r="G177" s="109"/>
      <c r="H177" s="110"/>
      <c r="I177" s="110"/>
      <c r="J177" s="111"/>
      <c r="K177" s="333"/>
      <c r="L177" s="333"/>
      <c r="M177" s="333"/>
      <c r="N177" s="333"/>
    </row>
    <row r="178" spans="1:14" x14ac:dyDescent="0.2">
      <c r="A178" s="104"/>
      <c r="B178" s="109"/>
      <c r="C178" s="195"/>
      <c r="D178" s="191"/>
      <c r="E178" s="109"/>
      <c r="F178" s="339"/>
      <c r="G178" s="109"/>
      <c r="H178" s="339"/>
      <c r="I178" s="339"/>
      <c r="J178" s="113"/>
      <c r="K178" s="333"/>
      <c r="L178" s="333"/>
      <c r="M178" s="333"/>
      <c r="N178" s="333"/>
    </row>
    <row r="179" spans="1:14" x14ac:dyDescent="0.2">
      <c r="A179" s="104"/>
      <c r="B179" s="340"/>
      <c r="C179" s="115"/>
      <c r="D179" s="191"/>
      <c r="E179" s="118"/>
      <c r="F179" s="192"/>
      <c r="G179" s="333"/>
      <c r="H179" s="39"/>
      <c r="I179" s="39"/>
      <c r="J179" s="100"/>
      <c r="K179" s="252"/>
      <c r="L179" s="333"/>
      <c r="M179" s="333"/>
      <c r="N179" s="333"/>
    </row>
    <row r="180" spans="1:14" x14ac:dyDescent="0.2">
      <c r="A180" s="104"/>
      <c r="B180" s="340"/>
      <c r="C180" s="115"/>
      <c r="D180" s="191"/>
      <c r="E180" s="118"/>
      <c r="F180" s="192"/>
      <c r="G180" s="39"/>
      <c r="H180" s="39"/>
      <c r="I180" s="39"/>
      <c r="J180" s="100"/>
      <c r="K180" s="252"/>
      <c r="L180" s="333"/>
      <c r="M180" s="333"/>
      <c r="N180" s="333"/>
    </row>
    <row r="181" spans="1:14" x14ac:dyDescent="0.2">
      <c r="A181" s="104"/>
      <c r="B181" s="340"/>
      <c r="C181" s="115"/>
      <c r="D181" s="191"/>
      <c r="E181" s="118"/>
      <c r="F181" s="192"/>
      <c r="G181" s="39"/>
      <c r="H181" s="39"/>
      <c r="I181" s="39"/>
      <c r="J181" s="100"/>
      <c r="K181" s="252"/>
      <c r="L181" s="333"/>
      <c r="M181" s="333"/>
      <c r="N181" s="333"/>
    </row>
    <row r="182" spans="1:14" x14ac:dyDescent="0.2">
      <c r="A182" s="104"/>
      <c r="B182" s="340"/>
      <c r="C182" s="115"/>
      <c r="D182" s="191"/>
      <c r="E182" s="118"/>
      <c r="F182" s="192"/>
      <c r="G182" s="39"/>
      <c r="H182" s="39"/>
      <c r="I182" s="39"/>
      <c r="J182" s="100"/>
      <c r="K182" s="252"/>
      <c r="L182" s="333"/>
      <c r="M182" s="333"/>
      <c r="N182" s="333"/>
    </row>
    <row r="183" spans="1:14" x14ac:dyDescent="0.2">
      <c r="A183" s="104"/>
      <c r="B183" s="183"/>
      <c r="C183" s="115"/>
      <c r="D183" s="191"/>
      <c r="E183" s="118"/>
      <c r="F183" s="192"/>
      <c r="G183" s="39"/>
      <c r="H183" s="39"/>
      <c r="I183" s="39"/>
      <c r="J183" s="100"/>
      <c r="K183" s="199"/>
      <c r="L183" s="90"/>
      <c r="M183" s="90"/>
      <c r="N183" s="90"/>
    </row>
    <row r="184" spans="1:14" x14ac:dyDescent="0.2">
      <c r="A184" s="104"/>
      <c r="B184" s="183"/>
      <c r="C184" s="115"/>
      <c r="D184" s="191"/>
      <c r="E184" s="118"/>
      <c r="F184" s="192"/>
      <c r="G184" s="39"/>
      <c r="H184" s="39"/>
      <c r="I184" s="39"/>
      <c r="J184" s="100"/>
      <c r="K184" s="199"/>
      <c r="L184" s="90"/>
      <c r="M184" s="90"/>
      <c r="N184" s="90"/>
    </row>
    <row r="185" spans="1:14" x14ac:dyDescent="0.2">
      <c r="A185" s="104"/>
      <c r="B185" s="183"/>
      <c r="C185" s="115"/>
      <c r="D185" s="191"/>
      <c r="E185" s="118"/>
      <c r="F185" s="192"/>
      <c r="G185" s="39"/>
      <c r="H185" s="39"/>
      <c r="I185" s="39"/>
      <c r="J185" s="100"/>
      <c r="K185" s="90"/>
      <c r="L185" s="90"/>
      <c r="M185" s="90"/>
      <c r="N185" s="90"/>
    </row>
    <row r="186" spans="1:14" x14ac:dyDescent="0.2">
      <c r="A186" s="104"/>
      <c r="B186" s="183"/>
      <c r="C186" s="115"/>
      <c r="D186" s="191"/>
      <c r="E186" s="118"/>
      <c r="F186" s="192"/>
      <c r="G186" s="39"/>
      <c r="H186" s="39"/>
      <c r="I186" s="39"/>
      <c r="J186" s="100"/>
      <c r="K186" s="90"/>
      <c r="L186" s="127"/>
      <c r="M186" s="90"/>
      <c r="N186" s="90"/>
    </row>
    <row r="187" spans="1:14" x14ac:dyDescent="0.2">
      <c r="A187" s="104"/>
      <c r="B187" s="183"/>
      <c r="C187" s="115"/>
      <c r="D187" s="191"/>
      <c r="E187" s="118"/>
      <c r="F187" s="192"/>
      <c r="G187" s="39"/>
      <c r="H187" s="39"/>
      <c r="I187" s="39"/>
      <c r="J187" s="100"/>
      <c r="K187" s="90"/>
      <c r="L187" s="90"/>
      <c r="M187" s="90"/>
      <c r="N187" s="90"/>
    </row>
    <row r="188" spans="1:14" x14ac:dyDescent="0.2">
      <c r="A188" s="104"/>
      <c r="B188" s="183"/>
      <c r="C188" s="115"/>
      <c r="D188" s="191"/>
      <c r="E188" s="118"/>
      <c r="F188" s="192"/>
      <c r="G188" s="39"/>
      <c r="H188" s="39"/>
      <c r="I188" s="39"/>
      <c r="J188" s="100"/>
      <c r="K188" s="90"/>
      <c r="L188" s="90"/>
      <c r="M188" s="90"/>
      <c r="N188" s="90"/>
    </row>
    <row r="189" spans="1:14" x14ac:dyDescent="0.2">
      <c r="A189" s="104"/>
      <c r="B189" s="183"/>
      <c r="C189" s="115"/>
      <c r="D189" s="191"/>
      <c r="E189" s="118"/>
      <c r="F189" s="192"/>
      <c r="G189" s="39"/>
      <c r="H189" s="39"/>
      <c r="I189" s="39"/>
      <c r="J189" s="100"/>
      <c r="K189" s="90"/>
      <c r="L189" s="90"/>
      <c r="M189" s="90"/>
      <c r="N189" s="90"/>
    </row>
    <row r="190" spans="1:14" x14ac:dyDescent="0.2">
      <c r="A190" s="104"/>
      <c r="B190" s="183"/>
      <c r="C190" s="115"/>
      <c r="D190" s="191"/>
      <c r="E190" s="118"/>
      <c r="F190" s="192"/>
      <c r="G190" s="39"/>
      <c r="H190" s="39"/>
      <c r="I190" s="39"/>
      <c r="J190" s="100"/>
      <c r="K190" s="90"/>
      <c r="L190" s="90"/>
      <c r="M190" s="90"/>
      <c r="N190" s="90"/>
    </row>
    <row r="191" spans="1:14" x14ac:dyDescent="0.2">
      <c r="A191" s="104"/>
      <c r="B191" s="183"/>
      <c r="C191" s="115"/>
      <c r="D191" s="191"/>
      <c r="E191" s="118"/>
      <c r="F191" s="192"/>
      <c r="G191" s="39"/>
      <c r="H191" s="39"/>
      <c r="I191" s="39"/>
      <c r="J191" s="100"/>
      <c r="K191" s="90"/>
      <c r="L191" s="90"/>
      <c r="M191" s="90"/>
      <c r="N191" s="90"/>
    </row>
    <row r="192" spans="1:14" x14ac:dyDescent="0.2">
      <c r="A192" s="104"/>
      <c r="B192" s="183"/>
      <c r="C192" s="115"/>
      <c r="D192" s="191"/>
      <c r="E192" s="118"/>
      <c r="F192" s="192"/>
      <c r="G192" s="39"/>
      <c r="H192" s="39"/>
      <c r="I192" s="39"/>
      <c r="J192" s="100"/>
      <c r="K192" s="90"/>
      <c r="L192" s="90"/>
      <c r="M192" s="90"/>
      <c r="N192" s="90"/>
    </row>
    <row r="193" spans="1:14" x14ac:dyDescent="0.2">
      <c r="A193" s="104"/>
      <c r="B193" s="183"/>
      <c r="C193" s="115"/>
      <c r="D193" s="191"/>
      <c r="E193" s="118"/>
      <c r="F193" s="192"/>
      <c r="G193" s="39"/>
      <c r="H193" s="39"/>
      <c r="I193" s="39"/>
      <c r="J193" s="183"/>
      <c r="K193" s="90"/>
      <c r="L193" s="90"/>
      <c r="M193" s="90"/>
      <c r="N193" s="90"/>
    </row>
    <row r="194" spans="1:14" x14ac:dyDescent="0.2">
      <c r="A194" s="104"/>
      <c r="B194" s="183"/>
      <c r="C194" s="115"/>
      <c r="D194" s="191"/>
      <c r="E194" s="118"/>
      <c r="F194" s="192"/>
      <c r="G194" s="39"/>
      <c r="H194" s="39"/>
      <c r="I194" s="39"/>
      <c r="J194" s="183"/>
      <c r="K194" s="90"/>
      <c r="L194" s="90"/>
      <c r="M194" s="90"/>
      <c r="N194" s="90"/>
    </row>
    <row r="195" spans="1:14" x14ac:dyDescent="0.2">
      <c r="A195" s="104"/>
      <c r="B195" s="183"/>
      <c r="C195" s="115"/>
      <c r="D195" s="191"/>
      <c r="E195" s="118"/>
      <c r="F195" s="192"/>
      <c r="G195" s="39"/>
      <c r="H195" s="39"/>
      <c r="I195" s="39"/>
      <c r="J195" s="183"/>
      <c r="K195" s="90"/>
      <c r="L195" s="90"/>
      <c r="M195" s="90"/>
      <c r="N195" s="90"/>
    </row>
    <row r="196" spans="1:14" x14ac:dyDescent="0.2">
      <c r="A196" s="104"/>
      <c r="B196" s="183"/>
      <c r="C196" s="115"/>
      <c r="D196" s="191"/>
      <c r="E196" s="118"/>
      <c r="F196" s="192"/>
      <c r="G196" s="39"/>
      <c r="H196" s="39"/>
      <c r="I196" s="39"/>
      <c r="J196" s="183"/>
      <c r="K196" s="90"/>
      <c r="L196" s="90"/>
      <c r="M196" s="90"/>
      <c r="N196" s="90"/>
    </row>
    <row r="197" spans="1:14" x14ac:dyDescent="0.2">
      <c r="A197" s="104"/>
      <c r="B197" s="183"/>
      <c r="C197" s="115"/>
      <c r="D197" s="191"/>
      <c r="E197" s="118"/>
      <c r="F197" s="192"/>
      <c r="G197" s="39"/>
      <c r="H197" s="39"/>
      <c r="I197" s="39"/>
      <c r="J197" s="183"/>
      <c r="K197" s="90"/>
      <c r="L197" s="90"/>
      <c r="M197" s="90"/>
      <c r="N197" s="90"/>
    </row>
    <row r="198" spans="1:14" x14ac:dyDescent="0.2">
      <c r="A198" s="104"/>
      <c r="B198" s="183"/>
      <c r="C198" s="115"/>
      <c r="D198" s="191"/>
      <c r="E198" s="118"/>
      <c r="F198" s="192"/>
      <c r="G198" s="39"/>
      <c r="H198" s="39"/>
      <c r="I198" s="39"/>
      <c r="J198" s="100"/>
      <c r="K198" s="90"/>
      <c r="L198" s="90"/>
      <c r="M198" s="90"/>
      <c r="N198" s="90"/>
    </row>
    <row r="199" spans="1:14" x14ac:dyDescent="0.2">
      <c r="A199" s="104"/>
      <c r="B199" s="183"/>
      <c r="C199" s="115"/>
      <c r="D199" s="191"/>
      <c r="E199" s="118"/>
      <c r="F199" s="192"/>
      <c r="G199" s="39"/>
      <c r="H199" s="39"/>
      <c r="I199" s="39"/>
      <c r="J199" s="100"/>
      <c r="K199" s="90"/>
      <c r="L199" s="90"/>
      <c r="M199" s="90"/>
      <c r="N199" s="90"/>
    </row>
    <row r="200" spans="1:14" x14ac:dyDescent="0.2">
      <c r="A200" s="104"/>
      <c r="B200" s="183"/>
      <c r="C200" s="115"/>
      <c r="D200" s="191"/>
      <c r="E200" s="118"/>
      <c r="F200" s="192"/>
      <c r="G200" s="39"/>
      <c r="H200" s="39"/>
      <c r="I200" s="39"/>
      <c r="J200" s="100"/>
      <c r="K200" s="90"/>
      <c r="L200" s="90"/>
      <c r="M200" s="90"/>
      <c r="N200" s="90"/>
    </row>
    <row r="201" spans="1:14" x14ac:dyDescent="0.2">
      <c r="A201" s="104"/>
      <c r="B201" s="183"/>
      <c r="C201" s="115"/>
      <c r="D201" s="191"/>
      <c r="E201" s="118"/>
      <c r="F201" s="192"/>
      <c r="G201" s="39"/>
      <c r="H201" s="39"/>
      <c r="I201" s="39"/>
      <c r="J201" s="100"/>
      <c r="K201" s="90"/>
      <c r="L201" s="90"/>
      <c r="M201" s="90"/>
      <c r="N201" s="90"/>
    </row>
    <row r="202" spans="1:14" x14ac:dyDescent="0.2">
      <c r="A202" s="104"/>
      <c r="B202" s="183"/>
      <c r="C202" s="115"/>
      <c r="D202" s="191"/>
      <c r="E202" s="118"/>
      <c r="F202" s="192"/>
      <c r="G202" s="39"/>
      <c r="H202" s="39"/>
      <c r="I202" s="39"/>
      <c r="J202" s="100"/>
      <c r="K202" s="90"/>
      <c r="L202" s="90"/>
      <c r="M202" s="90"/>
      <c r="N202" s="90"/>
    </row>
    <row r="203" spans="1:14" x14ac:dyDescent="0.2">
      <c r="A203" s="104"/>
      <c r="B203" s="183"/>
      <c r="C203" s="115"/>
      <c r="D203" s="191"/>
      <c r="E203" s="118"/>
      <c r="F203" s="192"/>
      <c r="G203" s="39"/>
      <c r="H203" s="39"/>
      <c r="I203" s="39"/>
      <c r="J203" s="100"/>
      <c r="K203" s="90"/>
      <c r="L203" s="90"/>
      <c r="M203" s="90"/>
      <c r="N203" s="90"/>
    </row>
    <row r="204" spans="1:14" x14ac:dyDescent="0.2">
      <c r="A204" s="104"/>
      <c r="B204" s="183"/>
      <c r="C204" s="115"/>
      <c r="D204" s="104"/>
      <c r="E204" s="118"/>
      <c r="F204" s="192"/>
      <c r="G204" s="39"/>
      <c r="H204" s="39"/>
      <c r="I204" s="39"/>
      <c r="J204" s="100"/>
      <c r="K204" s="90"/>
      <c r="L204" s="90"/>
      <c r="M204" s="90"/>
      <c r="N204" s="90"/>
    </row>
    <row r="205" spans="1:14" x14ac:dyDescent="0.2">
      <c r="A205" s="104"/>
      <c r="B205" s="183"/>
      <c r="C205" s="115"/>
      <c r="D205" s="200"/>
      <c r="E205" s="118"/>
      <c r="F205" s="192"/>
      <c r="G205" s="39"/>
      <c r="H205" s="39"/>
      <c r="I205" s="39"/>
      <c r="J205" s="100"/>
      <c r="K205" s="90"/>
      <c r="L205" s="90"/>
      <c r="M205" s="90"/>
      <c r="N205" s="90"/>
    </row>
    <row r="206" spans="1:14" x14ac:dyDescent="0.2">
      <c r="A206" s="104"/>
      <c r="B206" s="183"/>
      <c r="C206" s="115"/>
      <c r="D206" s="90"/>
      <c r="E206" s="118"/>
      <c r="F206" s="192"/>
      <c r="G206" s="39"/>
      <c r="H206" s="39"/>
      <c r="I206" s="39"/>
      <c r="J206" s="100"/>
      <c r="K206" s="90"/>
      <c r="L206" s="90"/>
      <c r="M206" s="90"/>
      <c r="N206" s="90"/>
    </row>
    <row r="207" spans="1:14" x14ac:dyDescent="0.2">
      <c r="A207" s="104"/>
      <c r="B207" s="184"/>
      <c r="C207" s="115"/>
      <c r="D207" s="90"/>
      <c r="E207" s="121"/>
      <c r="F207" s="39"/>
      <c r="G207" s="193"/>
      <c r="H207" s="123"/>
      <c r="I207" s="332"/>
      <c r="J207" s="333"/>
      <c r="K207" s="333"/>
      <c r="L207" s="90"/>
      <c r="M207" s="90"/>
      <c r="N207" s="90"/>
    </row>
    <row r="208" spans="1:14" x14ac:dyDescent="0.2">
      <c r="A208" s="104"/>
      <c r="B208" s="200"/>
      <c r="C208" s="200"/>
      <c r="D208" s="90"/>
      <c r="E208" s="200"/>
      <c r="F208" s="200"/>
      <c r="G208" s="39"/>
      <c r="H208" s="185"/>
      <c r="I208" s="187"/>
      <c r="J208" s="158"/>
      <c r="K208" s="90"/>
      <c r="L208" s="90"/>
      <c r="M208" s="90"/>
      <c r="N208" s="90"/>
    </row>
    <row r="209" spans="1:14" x14ac:dyDescent="0.2">
      <c r="A209" s="104"/>
      <c r="B209" s="163"/>
      <c r="C209" s="90"/>
      <c r="D209" s="90"/>
      <c r="E209" s="90"/>
      <c r="F209" s="90"/>
      <c r="G209" s="90"/>
      <c r="H209" s="125"/>
      <c r="I209" s="201"/>
      <c r="J209" s="126"/>
      <c r="K209" s="127"/>
      <c r="L209" s="90"/>
      <c r="M209" s="90"/>
      <c r="N209" s="90"/>
    </row>
    <row r="210" spans="1:14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</row>
    <row r="211" spans="1:14" x14ac:dyDescent="0.2">
      <c r="A211" s="316"/>
      <c r="B211" s="316"/>
      <c r="C211" s="316"/>
      <c r="D211" s="316"/>
      <c r="E211" s="316"/>
      <c r="F211" s="316"/>
      <c r="G211" s="316"/>
      <c r="H211" s="316"/>
      <c r="I211" s="316"/>
      <c r="J211" s="316"/>
      <c r="K211" s="90"/>
      <c r="L211" s="90"/>
      <c r="M211" s="90"/>
      <c r="N211" s="90"/>
    </row>
    <row r="212" spans="1:14" ht="15" x14ac:dyDescent="0.25">
      <c r="A212" s="316"/>
      <c r="B212" s="314"/>
      <c r="C212" s="313"/>
      <c r="D212" s="313"/>
      <c r="E212" s="313"/>
      <c r="F212" s="313"/>
      <c r="G212" s="313"/>
      <c r="H212" s="313"/>
      <c r="I212" s="312"/>
      <c r="J212" s="316"/>
      <c r="K212" s="90"/>
      <c r="L212" s="90"/>
      <c r="M212" s="90"/>
      <c r="N212" s="90"/>
    </row>
    <row r="213" spans="1:14" x14ac:dyDescent="0.2">
      <c r="A213" s="104"/>
      <c r="B213" s="270"/>
      <c r="C213" s="288"/>
      <c r="D213" s="288"/>
      <c r="E213" s="270"/>
      <c r="F213" s="90"/>
      <c r="G213" s="103"/>
      <c r="H213" s="105"/>
      <c r="I213" s="90"/>
      <c r="J213" s="90"/>
      <c r="K213" s="90"/>
      <c r="L213" s="90"/>
      <c r="M213" s="90"/>
      <c r="N213" s="90"/>
    </row>
    <row r="214" spans="1:14" x14ac:dyDescent="0.2">
      <c r="A214" s="104"/>
      <c r="B214" s="106"/>
      <c r="C214" s="137"/>
      <c r="D214" s="316"/>
      <c r="E214" s="109"/>
      <c r="F214" s="109"/>
      <c r="G214" s="110"/>
      <c r="H214" s="110"/>
      <c r="I214" s="111"/>
      <c r="J214" s="177"/>
      <c r="K214" s="90"/>
      <c r="L214" s="90"/>
      <c r="M214" s="90"/>
      <c r="N214" s="90"/>
    </row>
    <row r="215" spans="1:14" x14ac:dyDescent="0.2">
      <c r="A215" s="104"/>
      <c r="B215" s="109"/>
      <c r="C215" s="195"/>
      <c r="D215" s="194"/>
      <c r="E215" s="315"/>
      <c r="F215" s="109"/>
      <c r="G215" s="315"/>
      <c r="H215" s="315"/>
      <c r="I215" s="113"/>
      <c r="J215" s="274"/>
      <c r="K215" s="90"/>
      <c r="L215" s="90"/>
      <c r="M215" s="90"/>
      <c r="N215" s="90"/>
    </row>
    <row r="216" spans="1:14" x14ac:dyDescent="0.2">
      <c r="A216" s="104"/>
      <c r="B216" s="316"/>
      <c r="C216" s="115"/>
      <c r="D216" s="101"/>
      <c r="E216" s="192"/>
      <c r="F216" s="90"/>
      <c r="G216" s="39"/>
      <c r="H216" s="39"/>
      <c r="I216" s="100"/>
      <c r="J216" s="90"/>
      <c r="K216" s="90"/>
      <c r="L216" s="90"/>
      <c r="M216" s="90"/>
      <c r="N216" s="90"/>
    </row>
    <row r="217" spans="1:14" x14ac:dyDescent="0.2">
      <c r="A217" s="104"/>
      <c r="B217" s="316"/>
      <c r="C217" s="115"/>
      <c r="D217" s="91"/>
      <c r="E217" s="192"/>
      <c r="F217" s="39"/>
      <c r="G217" s="39"/>
      <c r="H217" s="39"/>
      <c r="I217" s="100"/>
      <c r="J217" s="119"/>
      <c r="K217" s="90"/>
      <c r="L217" s="90"/>
      <c r="M217" s="90"/>
      <c r="N217" s="90"/>
    </row>
    <row r="218" spans="1:14" x14ac:dyDescent="0.2">
      <c r="A218" s="104"/>
      <c r="B218" s="316"/>
      <c r="C218" s="115"/>
      <c r="D218" s="91"/>
      <c r="E218" s="192"/>
      <c r="F218" s="39"/>
      <c r="G218" s="39"/>
      <c r="H218" s="39"/>
      <c r="I218" s="100"/>
      <c r="J218" s="279"/>
      <c r="K218" s="90"/>
      <c r="L218" s="90"/>
      <c r="M218" s="90"/>
      <c r="N218" s="90"/>
    </row>
    <row r="219" spans="1:14" x14ac:dyDescent="0.2">
      <c r="A219" s="104"/>
      <c r="B219" s="316"/>
      <c r="C219" s="115"/>
      <c r="D219" s="91"/>
      <c r="E219" s="192"/>
      <c r="F219" s="39"/>
      <c r="G219" s="39"/>
      <c r="H219" s="39"/>
      <c r="I219" s="100"/>
      <c r="J219" s="279"/>
      <c r="K219" s="90"/>
      <c r="L219" s="90"/>
      <c r="M219" s="90"/>
      <c r="N219" s="90"/>
    </row>
    <row r="220" spans="1:14" x14ac:dyDescent="0.2">
      <c r="A220" s="104"/>
      <c r="B220" s="316"/>
      <c r="C220" s="115"/>
      <c r="D220" s="91"/>
      <c r="E220" s="192"/>
      <c r="F220" s="39"/>
      <c r="G220" s="39"/>
      <c r="H220" s="39"/>
      <c r="I220" s="100"/>
      <c r="J220" s="119"/>
      <c r="K220" s="90"/>
      <c r="L220" s="90"/>
      <c r="M220" s="90"/>
      <c r="N220" s="90"/>
    </row>
    <row r="221" spans="1:14" x14ac:dyDescent="0.2">
      <c r="A221" s="104"/>
      <c r="B221" s="316"/>
      <c r="C221" s="115"/>
      <c r="D221" s="91"/>
      <c r="E221" s="192"/>
      <c r="F221" s="39"/>
      <c r="G221" s="39"/>
      <c r="H221" s="39"/>
      <c r="I221" s="100"/>
      <c r="J221" s="119"/>
      <c r="K221" s="90"/>
      <c r="L221" s="90"/>
      <c r="M221" s="90"/>
      <c r="N221" s="90"/>
    </row>
    <row r="222" spans="1:14" x14ac:dyDescent="0.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</row>
    <row r="223" spans="1:14" x14ac:dyDescent="0.2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1:14" x14ac:dyDescent="0.2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1:14" x14ac:dyDescent="0.2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</row>
    <row r="226" spans="1:14" x14ac:dyDescent="0.2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</row>
    <row r="227" spans="1:14" x14ac:dyDescent="0.2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</row>
    <row r="228" spans="1:14" x14ac:dyDescent="0.2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</row>
    <row r="229" spans="1:14" x14ac:dyDescent="0.2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</row>
  </sheetData>
  <mergeCells count="15">
    <mergeCell ref="K84:L84"/>
    <mergeCell ref="M53:N53"/>
    <mergeCell ref="K90:L90"/>
    <mergeCell ref="F82:L82"/>
    <mergeCell ref="A1:H1"/>
    <mergeCell ref="M51:N51"/>
    <mergeCell ref="M2:N2"/>
    <mergeCell ref="B3:C3"/>
    <mergeCell ref="A51:C51"/>
    <mergeCell ref="E50:H50"/>
    <mergeCell ref="E51:H51"/>
    <mergeCell ref="M4:N4"/>
    <mergeCell ref="A2:C2"/>
    <mergeCell ref="G22:I22"/>
    <mergeCell ref="A49:I49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workbookViewId="0">
      <selection activeCell="T62" sqref="T62"/>
    </sheetView>
  </sheetViews>
  <sheetFormatPr baseColWidth="10" defaultRowHeight="12.75" x14ac:dyDescent="0.2"/>
  <cols>
    <col min="1" max="1" width="3" bestFit="1" customWidth="1"/>
    <col min="2" max="3" width="8.140625" bestFit="1" customWidth="1"/>
    <col min="4" max="4" width="7.42578125" bestFit="1" customWidth="1"/>
    <col min="5" max="5" width="10.7109375" bestFit="1" customWidth="1"/>
    <col min="6" max="6" width="10.140625" bestFit="1" customWidth="1"/>
    <col min="7" max="7" width="8" bestFit="1" customWidth="1"/>
    <col min="8" max="8" width="7.140625" bestFit="1" customWidth="1"/>
    <col min="9" max="9" width="9.5703125" bestFit="1" customWidth="1"/>
    <col min="10" max="10" width="9.28515625" bestFit="1" customWidth="1"/>
    <col min="11" max="11" width="8.28515625" bestFit="1" customWidth="1"/>
    <col min="12" max="12" width="5.7109375" customWidth="1"/>
    <col min="14" max="14" width="3.5703125" bestFit="1" customWidth="1"/>
    <col min="15" max="15" width="9.42578125" customWidth="1"/>
    <col min="16" max="17" width="5.140625" bestFit="1" customWidth="1"/>
    <col min="18" max="18" width="4.5703125" bestFit="1" customWidth="1"/>
  </cols>
  <sheetData>
    <row r="1" spans="1:18" ht="13.5" thickBot="1" x14ac:dyDescent="0.25">
      <c r="A1" s="1"/>
      <c r="B1" s="19" t="s">
        <v>20</v>
      </c>
      <c r="C1" s="19" t="s">
        <v>11</v>
      </c>
      <c r="D1" s="19" t="s">
        <v>12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17</v>
      </c>
      <c r="J1" s="19" t="s">
        <v>18</v>
      </c>
      <c r="K1" s="19" t="s">
        <v>19</v>
      </c>
      <c r="L1" s="96"/>
      <c r="M1" s="96"/>
      <c r="N1" s="96"/>
      <c r="O1" s="96"/>
      <c r="P1" s="96"/>
      <c r="Q1" s="96"/>
      <c r="R1" s="96"/>
    </row>
    <row r="2" spans="1:18" ht="15.75" thickBot="1" x14ac:dyDescent="0.3">
      <c r="A2" s="19">
        <v>1</v>
      </c>
      <c r="B2" s="470" t="s">
        <v>27</v>
      </c>
      <c r="C2" s="470"/>
      <c r="D2" s="471"/>
      <c r="E2" s="471"/>
      <c r="F2" s="471"/>
      <c r="G2" s="471"/>
      <c r="H2" s="471"/>
      <c r="I2" s="471"/>
      <c r="J2" s="471"/>
      <c r="K2" s="29"/>
      <c r="L2" s="376"/>
      <c r="M2" s="376"/>
      <c r="N2" s="376"/>
      <c r="O2" s="383" t="s">
        <v>92</v>
      </c>
      <c r="P2" s="239"/>
      <c r="Q2" s="90"/>
      <c r="R2" s="90"/>
    </row>
    <row r="3" spans="1:18" x14ac:dyDescent="0.2">
      <c r="A3" s="170">
        <f t="shared" ref="A3:A51" si="0">A2+1</f>
        <v>2</v>
      </c>
      <c r="B3" s="375" t="s">
        <v>4</v>
      </c>
      <c r="C3" s="472" t="s">
        <v>3</v>
      </c>
      <c r="D3" s="473"/>
      <c r="E3" s="473"/>
      <c r="F3" s="474"/>
      <c r="G3" s="472" t="s">
        <v>28</v>
      </c>
      <c r="H3" s="473"/>
      <c r="I3" s="473"/>
      <c r="J3" s="474"/>
      <c r="K3" s="95"/>
      <c r="L3" s="381"/>
      <c r="M3" s="381"/>
      <c r="N3" s="381"/>
      <c r="O3" s="398" t="s">
        <v>93</v>
      </c>
      <c r="P3" s="399"/>
      <c r="Q3" s="139"/>
      <c r="R3" s="139"/>
    </row>
    <row r="4" spans="1:18" ht="15" x14ac:dyDescent="0.25">
      <c r="A4" s="19">
        <f t="shared" si="0"/>
        <v>3</v>
      </c>
      <c r="B4" s="218"/>
      <c r="C4" s="219" t="s">
        <v>79</v>
      </c>
      <c r="D4" s="217" t="s">
        <v>29</v>
      </c>
      <c r="E4" s="220" t="s">
        <v>6</v>
      </c>
      <c r="F4" s="221" t="s">
        <v>7</v>
      </c>
      <c r="G4" s="222" t="s">
        <v>8</v>
      </c>
      <c r="H4" s="223" t="s">
        <v>10</v>
      </c>
      <c r="I4" s="224" t="s">
        <v>73</v>
      </c>
      <c r="J4" s="225" t="s">
        <v>74</v>
      </c>
      <c r="M4" s="1"/>
      <c r="O4" s="245" t="s">
        <v>1</v>
      </c>
      <c r="P4" s="400" t="s">
        <v>2</v>
      </c>
      <c r="Q4" s="90"/>
      <c r="R4" s="90"/>
    </row>
    <row r="5" spans="1:18" ht="17.25" thickBot="1" x14ac:dyDescent="0.35">
      <c r="A5" s="19">
        <f t="shared" si="0"/>
        <v>4</v>
      </c>
      <c r="B5" s="226"/>
      <c r="C5" s="227" t="s">
        <v>86</v>
      </c>
      <c r="D5" s="207" t="s">
        <v>30</v>
      </c>
      <c r="E5" s="263" t="s">
        <v>83</v>
      </c>
      <c r="F5" s="264" t="s">
        <v>84</v>
      </c>
      <c r="G5" s="230" t="s">
        <v>9</v>
      </c>
      <c r="H5" s="231" t="s">
        <v>9</v>
      </c>
      <c r="I5" s="228" t="s">
        <v>72</v>
      </c>
      <c r="J5" s="229" t="s">
        <v>85</v>
      </c>
      <c r="O5" s="54">
        <f>I6</f>
        <v>-0.3085189800108637</v>
      </c>
      <c r="P5" s="16">
        <f>J6</f>
        <v>0.95121818683888515</v>
      </c>
      <c r="Q5" s="4"/>
      <c r="R5" s="4"/>
    </row>
    <row r="6" spans="1:18" x14ac:dyDescent="0.2">
      <c r="A6" s="19">
        <f t="shared" si="0"/>
        <v>5</v>
      </c>
      <c r="B6" s="24">
        <v>33612</v>
      </c>
      <c r="C6" s="384">
        <v>155.85</v>
      </c>
      <c r="D6" s="385">
        <v>1.1000000000000001</v>
      </c>
      <c r="E6" s="34">
        <f t="shared" ref="E6:E44" si="1">5.4*COS(RADIANS(C6))</f>
        <v>-4.9273784684008781</v>
      </c>
      <c r="F6" s="11">
        <f>5.4*SIN(RADIANS(C6))</f>
        <v>2.2092852756354082</v>
      </c>
      <c r="G6" s="386">
        <v>287.97000000000003</v>
      </c>
      <c r="H6" s="10">
        <f>G6-180</f>
        <v>107.97000000000003</v>
      </c>
      <c r="I6" s="34">
        <f>1*COS(RADIANS(H6))</f>
        <v>-0.3085189800108637</v>
      </c>
      <c r="J6" s="11">
        <f>1*SIN(RADIANS(H6))</f>
        <v>0.95121818683888515</v>
      </c>
      <c r="O6" s="85">
        <f>I45</f>
        <v>-0.21848388731400303</v>
      </c>
      <c r="P6" s="401">
        <f>J45</f>
        <v>0.97584055612797838</v>
      </c>
      <c r="Q6" s="4"/>
      <c r="R6" s="4"/>
    </row>
    <row r="7" spans="1:18" x14ac:dyDescent="0.2">
      <c r="A7" s="19">
        <f t="shared" si="0"/>
        <v>6</v>
      </c>
      <c r="B7" s="47">
        <f t="shared" ref="B7:B33" si="2">B6+10</f>
        <v>33622</v>
      </c>
      <c r="C7" s="387">
        <v>156.62</v>
      </c>
      <c r="D7" s="388">
        <v>1.1000000000000001</v>
      </c>
      <c r="E7" s="28">
        <f t="shared" si="1"/>
        <v>-4.9566232828864933</v>
      </c>
      <c r="F7" s="38">
        <f t="shared" ref="F7:F44" si="3">5.4*SIN(RADIANS(C7))</f>
        <v>2.1428685520926209</v>
      </c>
      <c r="G7" s="389">
        <v>298.14999999999998</v>
      </c>
      <c r="H7" s="36">
        <f>G7-180</f>
        <v>118.14999999999998</v>
      </c>
      <c r="I7" s="28">
        <f t="shared" ref="I7:I45" si="4">1*COS(RADIANS(H7))</f>
        <v>-0.47178150268530028</v>
      </c>
      <c r="J7" s="38">
        <f t="shared" ref="J7:J45" si="5">1*SIN(RADIANS(H7))</f>
        <v>0.88171549477368261</v>
      </c>
      <c r="O7" s="54">
        <f>I34</f>
        <v>0.99668015310197322</v>
      </c>
      <c r="P7" s="16">
        <f>J34</f>
        <v>-8.1416659306478012E-2</v>
      </c>
      <c r="Q7" s="4"/>
      <c r="R7" s="4"/>
    </row>
    <row r="8" spans="1:18" x14ac:dyDescent="0.2">
      <c r="A8" s="19">
        <f t="shared" si="0"/>
        <v>7</v>
      </c>
      <c r="B8" s="47">
        <f t="shared" si="2"/>
        <v>33632</v>
      </c>
      <c r="C8" s="387">
        <v>157.38999999999999</v>
      </c>
      <c r="D8" s="388">
        <v>1.1000000000000001</v>
      </c>
      <c r="E8" s="28">
        <f t="shared" si="1"/>
        <v>-4.9849729066721951</v>
      </c>
      <c r="F8" s="38">
        <f t="shared" si="3"/>
        <v>2.0760648158822419</v>
      </c>
      <c r="G8" s="389">
        <v>308.32</v>
      </c>
      <c r="H8" s="36">
        <f>G8-180</f>
        <v>128.32</v>
      </c>
      <c r="I8" s="28">
        <f t="shared" si="4"/>
        <v>-0.62005293266163264</v>
      </c>
      <c r="J8" s="38">
        <f t="shared" si="5"/>
        <v>0.78455997903137331</v>
      </c>
      <c r="K8" s="59"/>
      <c r="O8" s="54">
        <f>I12</f>
        <v>-0.93758581905808813</v>
      </c>
      <c r="P8" s="16">
        <f>J12</f>
        <v>0.34775398186242817</v>
      </c>
      <c r="Q8" s="4"/>
      <c r="R8" s="4"/>
    </row>
    <row r="9" spans="1:18" x14ac:dyDescent="0.2">
      <c r="A9" s="19">
        <f t="shared" si="0"/>
        <v>8</v>
      </c>
      <c r="B9" s="47">
        <f t="shared" si="2"/>
        <v>33642</v>
      </c>
      <c r="C9" s="387">
        <v>158.16</v>
      </c>
      <c r="D9" s="388">
        <v>1.1000000000000001</v>
      </c>
      <c r="E9" s="28">
        <f t="shared" si="1"/>
        <v>-5.0124222196756021</v>
      </c>
      <c r="F9" s="38">
        <f t="shared" si="3"/>
        <v>2.0088861320896991</v>
      </c>
      <c r="G9" s="390">
        <v>318.47000000000003</v>
      </c>
      <c r="H9" s="36">
        <f t="shared" ref="H9:H45" si="6">G9-180</f>
        <v>138.47000000000003</v>
      </c>
      <c r="I9" s="28">
        <f t="shared" si="4"/>
        <v>-0.74860867109369356</v>
      </c>
      <c r="J9" s="38">
        <f t="shared" si="5"/>
        <v>0.66301210966567892</v>
      </c>
      <c r="K9" s="59"/>
      <c r="O9" s="54">
        <f>E6</f>
        <v>-4.9273784684008781</v>
      </c>
      <c r="P9" s="16">
        <f>F6</f>
        <v>2.2092852756354082</v>
      </c>
      <c r="Q9" s="4"/>
      <c r="R9" s="4"/>
    </row>
    <row r="10" spans="1:18" ht="13.5" thickBot="1" x14ac:dyDescent="0.25">
      <c r="A10" s="19">
        <f t="shared" si="0"/>
        <v>9</v>
      </c>
      <c r="B10" s="47">
        <f t="shared" si="2"/>
        <v>33652</v>
      </c>
      <c r="C10" s="387">
        <v>158.93</v>
      </c>
      <c r="D10" s="388">
        <v>1.1000000000000001</v>
      </c>
      <c r="E10" s="28">
        <f t="shared" si="1"/>
        <v>-5.0389662644149098</v>
      </c>
      <c r="F10" s="38">
        <f t="shared" si="3"/>
        <v>1.9413446335178235</v>
      </c>
      <c r="G10" s="390">
        <v>328.58</v>
      </c>
      <c r="H10" s="36">
        <f t="shared" si="6"/>
        <v>148.57999999999998</v>
      </c>
      <c r="I10" s="28">
        <f t="shared" si="4"/>
        <v>-0.85336887860752841</v>
      </c>
      <c r="J10" s="38">
        <f t="shared" si="5"/>
        <v>0.52130754552771386</v>
      </c>
      <c r="O10" s="55">
        <f>E45</f>
        <v>-5.3908274846992148</v>
      </c>
      <c r="P10" s="17">
        <f>F45</f>
        <v>-0.31460932950493048</v>
      </c>
      <c r="Q10" s="4"/>
      <c r="R10" s="4"/>
    </row>
    <row r="11" spans="1:18" x14ac:dyDescent="0.2">
      <c r="A11" s="19">
        <f t="shared" si="0"/>
        <v>10</v>
      </c>
      <c r="B11" s="47">
        <f t="shared" si="2"/>
        <v>33662</v>
      </c>
      <c r="C11" s="44">
        <v>159.71</v>
      </c>
      <c r="D11" s="388">
        <v>1.1000000000000001</v>
      </c>
      <c r="E11" s="28">
        <f t="shared" si="1"/>
        <v>-5.0649271489125907</v>
      </c>
      <c r="F11" s="38">
        <f t="shared" si="3"/>
        <v>1.8725685504696972</v>
      </c>
      <c r="G11" s="52">
        <v>338.65</v>
      </c>
      <c r="H11" s="36">
        <f t="shared" si="6"/>
        <v>158.64999999999998</v>
      </c>
      <c r="I11" s="28">
        <f t="shared" si="4"/>
        <v>-0.93137387636489977</v>
      </c>
      <c r="J11" s="38">
        <f t="shared" si="5"/>
        <v>0.36406414603064163</v>
      </c>
    </row>
    <row r="12" spans="1:18" x14ac:dyDescent="0.2">
      <c r="A12" s="19">
        <f t="shared" si="0"/>
        <v>11</v>
      </c>
      <c r="B12" s="30">
        <v>33663</v>
      </c>
      <c r="C12" s="58">
        <v>159.79</v>
      </c>
      <c r="D12" s="391">
        <v>1.1000000000000001</v>
      </c>
      <c r="E12" s="31">
        <f>5.4*COS(RADIANS(C12))</f>
        <v>-5.0675368098297158</v>
      </c>
      <c r="F12" s="32">
        <f>5.4*SIN(RADIANS(C12))</f>
        <v>1.865494755023684</v>
      </c>
      <c r="G12" s="53">
        <v>339.65</v>
      </c>
      <c r="H12" s="35">
        <f t="shared" si="6"/>
        <v>159.64999999999998</v>
      </c>
      <c r="I12" s="31">
        <f t="shared" si="4"/>
        <v>-0.93758581905808813</v>
      </c>
      <c r="J12" s="32">
        <f>1*SIN(RADIANS(H12))</f>
        <v>0.34775398186242817</v>
      </c>
      <c r="K12" s="251" t="s">
        <v>80</v>
      </c>
      <c r="L12" s="376"/>
      <c r="M12" s="153"/>
    </row>
    <row r="13" spans="1:18" x14ac:dyDescent="0.2">
      <c r="A13" s="19">
        <f t="shared" si="0"/>
        <v>12</v>
      </c>
      <c r="B13" s="166">
        <f>B11+10</f>
        <v>33672</v>
      </c>
      <c r="C13" s="131">
        <v>160.47</v>
      </c>
      <c r="D13" s="392">
        <v>1.1000000000000001</v>
      </c>
      <c r="E13" s="129">
        <f t="shared" si="1"/>
        <v>-5.0893195375194908</v>
      </c>
      <c r="F13" s="143">
        <f t="shared" si="3"/>
        <v>1.8052220486750095</v>
      </c>
      <c r="G13" s="144">
        <v>348.67</v>
      </c>
      <c r="H13" s="39">
        <f t="shared" si="6"/>
        <v>168.67000000000002</v>
      </c>
      <c r="I13" s="129">
        <f t="shared" si="4"/>
        <v>-0.98051192696955725</v>
      </c>
      <c r="J13" s="143">
        <f t="shared" si="5"/>
        <v>0.19645956599373207</v>
      </c>
      <c r="K13" s="254" t="s">
        <v>82</v>
      </c>
      <c r="L13" s="376"/>
    </row>
    <row r="14" spans="1:18" x14ac:dyDescent="0.2">
      <c r="A14" s="19">
        <f t="shared" si="0"/>
        <v>13</v>
      </c>
      <c r="B14" s="166">
        <f t="shared" si="2"/>
        <v>33682</v>
      </c>
      <c r="C14" s="131">
        <v>161.24</v>
      </c>
      <c r="D14" s="392">
        <v>1.1000000000000001</v>
      </c>
      <c r="E14" s="129">
        <f t="shared" si="1"/>
        <v>-5.1131196718343972</v>
      </c>
      <c r="F14" s="143">
        <f t="shared" si="3"/>
        <v>1.7366655468166894</v>
      </c>
      <c r="G14" s="144">
        <v>358.64</v>
      </c>
      <c r="H14" s="39">
        <f t="shared" si="6"/>
        <v>178.64</v>
      </c>
      <c r="I14" s="129">
        <f t="shared" si="4"/>
        <v>-0.99971830303670473</v>
      </c>
      <c r="J14" s="143">
        <f t="shared" si="5"/>
        <v>2.373424895402242E-2</v>
      </c>
      <c r="K14" s="376"/>
      <c r="L14" s="376"/>
    </row>
    <row r="15" spans="1:18" ht="13.5" thickBot="1" x14ac:dyDescent="0.25">
      <c r="A15" s="19">
        <f t="shared" si="0"/>
        <v>14</v>
      </c>
      <c r="B15" s="166">
        <f t="shared" si="2"/>
        <v>33692</v>
      </c>
      <c r="C15" s="131">
        <v>162.01</v>
      </c>
      <c r="D15" s="392">
        <v>1.2</v>
      </c>
      <c r="E15" s="129">
        <f t="shared" si="1"/>
        <v>-5.135996351426896</v>
      </c>
      <c r="F15" s="143">
        <f t="shared" si="3"/>
        <v>1.6677953945642161</v>
      </c>
      <c r="G15" s="144">
        <v>8.5500000000000007</v>
      </c>
      <c r="H15" s="39">
        <f t="shared" si="6"/>
        <v>-171.45</v>
      </c>
      <c r="I15" s="129">
        <f t="shared" si="4"/>
        <v>-0.98888649874450452</v>
      </c>
      <c r="J15" s="143">
        <f t="shared" si="5"/>
        <v>-0.14867243389692314</v>
      </c>
      <c r="K15" s="382"/>
      <c r="L15" s="376"/>
      <c r="O15" s="1"/>
      <c r="P15" s="1"/>
    </row>
    <row r="16" spans="1:18" x14ac:dyDescent="0.2">
      <c r="A16" s="19">
        <f t="shared" si="0"/>
        <v>15</v>
      </c>
      <c r="B16" s="166">
        <f t="shared" si="2"/>
        <v>33702</v>
      </c>
      <c r="C16" s="131">
        <v>162.78</v>
      </c>
      <c r="D16" s="392">
        <v>1.2</v>
      </c>
      <c r="E16" s="129">
        <f t="shared" si="1"/>
        <v>-5.1579454446554189</v>
      </c>
      <c r="F16" s="143">
        <f t="shared" si="3"/>
        <v>1.5986240302079833</v>
      </c>
      <c r="G16" s="144">
        <v>18.41</v>
      </c>
      <c r="H16" s="39">
        <f t="shared" si="6"/>
        <v>-161.59</v>
      </c>
      <c r="I16" s="129">
        <f t="shared" si="4"/>
        <v>-0.94882090604281333</v>
      </c>
      <c r="J16" s="143">
        <f t="shared" si="5"/>
        <v>-0.31581464224461592</v>
      </c>
      <c r="K16" s="382"/>
      <c r="L16" s="376"/>
      <c r="N16" s="475" t="s">
        <v>41</v>
      </c>
      <c r="O16" s="476"/>
      <c r="P16" s="243"/>
      <c r="Q16" s="243"/>
      <c r="R16" s="244"/>
    </row>
    <row r="17" spans="1:18" ht="15" x14ac:dyDescent="0.25">
      <c r="A17" s="19">
        <f t="shared" si="0"/>
        <v>16</v>
      </c>
      <c r="B17" s="166">
        <f t="shared" si="2"/>
        <v>33712</v>
      </c>
      <c r="C17" s="131">
        <v>163.55000000000001</v>
      </c>
      <c r="D17" s="392">
        <v>1.2</v>
      </c>
      <c r="E17" s="129">
        <f t="shared" si="1"/>
        <v>-5.1789629874050798</v>
      </c>
      <c r="F17" s="143">
        <f t="shared" si="3"/>
        <v>1.5291639464387905</v>
      </c>
      <c r="G17" s="144">
        <v>28.21</v>
      </c>
      <c r="H17" s="39">
        <f t="shared" si="6"/>
        <v>-151.79</v>
      </c>
      <c r="I17" s="129">
        <f t="shared" si="4"/>
        <v>-0.88122096297509389</v>
      </c>
      <c r="J17" s="143">
        <f t="shared" si="5"/>
        <v>-0.47270457414039074</v>
      </c>
      <c r="N17" s="246" t="s">
        <v>24</v>
      </c>
      <c r="O17" s="240" t="s">
        <v>1</v>
      </c>
      <c r="P17" s="241" t="s">
        <v>2</v>
      </c>
      <c r="Q17" s="240" t="s">
        <v>1</v>
      </c>
      <c r="R17" s="242" t="s">
        <v>2</v>
      </c>
    </row>
    <row r="18" spans="1:18" x14ac:dyDescent="0.2">
      <c r="A18" s="19">
        <f t="shared" si="0"/>
        <v>17</v>
      </c>
      <c r="B18" s="166">
        <f t="shared" si="2"/>
        <v>33722</v>
      </c>
      <c r="C18" s="131">
        <v>164.31</v>
      </c>
      <c r="D18" s="392">
        <v>1.2</v>
      </c>
      <c r="E18" s="129">
        <f t="shared" si="1"/>
        <v>-5.1987903864354097</v>
      </c>
      <c r="F18" s="143">
        <f t="shared" si="3"/>
        <v>1.460335070422802</v>
      </c>
      <c r="G18" s="144">
        <v>37.96</v>
      </c>
      <c r="H18" s="39">
        <f t="shared" si="6"/>
        <v>-142.04</v>
      </c>
      <c r="I18" s="129">
        <f t="shared" si="4"/>
        <v>-0.78844037433125813</v>
      </c>
      <c r="J18" s="143">
        <f t="shared" si="5"/>
        <v>-0.61511119004972226</v>
      </c>
      <c r="N18" s="15">
        <v>0</v>
      </c>
      <c r="O18" s="6">
        <f>$E$12+0.2*COS(N18)</f>
        <v>-4.8675368098297156</v>
      </c>
      <c r="P18" s="83">
        <f>$F$12+0.2*SIN(N18)</f>
        <v>1.865494755023684</v>
      </c>
      <c r="Q18" s="6">
        <f>$E$25+0.2*COS(N18)</f>
        <v>-5.1034661206579361</v>
      </c>
      <c r="R18" s="7">
        <f>$F$25+0.2*SIN(N18)</f>
        <v>1.0164876325039378</v>
      </c>
    </row>
    <row r="19" spans="1:18" x14ac:dyDescent="0.2">
      <c r="A19" s="19">
        <f t="shared" si="0"/>
        <v>18</v>
      </c>
      <c r="B19" s="166">
        <f t="shared" si="2"/>
        <v>33732</v>
      </c>
      <c r="C19" s="131">
        <v>165.08</v>
      </c>
      <c r="D19" s="392">
        <v>1.2</v>
      </c>
      <c r="E19" s="129">
        <f t="shared" si="1"/>
        <v>-5.2179458265236551</v>
      </c>
      <c r="F19" s="143">
        <f t="shared" si="3"/>
        <v>1.3903385743999099</v>
      </c>
      <c r="G19" s="144">
        <v>47.66</v>
      </c>
      <c r="H19" s="39">
        <f t="shared" si="6"/>
        <v>-132.34</v>
      </c>
      <c r="I19" s="129">
        <f t="shared" si="4"/>
        <v>-0.67352870937306752</v>
      </c>
      <c r="J19" s="143">
        <f t="shared" si="5"/>
        <v>-0.73916106340245624</v>
      </c>
      <c r="N19" s="85">
        <f t="shared" ref="N19:N28" si="7">N18+PI()/5</f>
        <v>0.62831853071795862</v>
      </c>
      <c r="O19" s="6">
        <f t="shared" ref="O19:O28" si="8">$E$12+0.2*COS(N19)</f>
        <v>-4.9057334109547259</v>
      </c>
      <c r="P19" s="41">
        <f t="shared" ref="P19:P28" si="9">$F$12+0.2*SIN(N19)</f>
        <v>1.9830518054821786</v>
      </c>
      <c r="Q19" s="6">
        <f t="shared" ref="Q19:Q28" si="10">$E$25+0.2*COS(N19)</f>
        <v>-5.1416627217829465</v>
      </c>
      <c r="R19" s="7">
        <f t="shared" ref="R19:R28" si="11">$F$25+0.2*SIN(N19)</f>
        <v>1.1340446829624324</v>
      </c>
    </row>
    <row r="20" spans="1:18" x14ac:dyDescent="0.2">
      <c r="A20" s="19">
        <f t="shared" si="0"/>
        <v>19</v>
      </c>
      <c r="B20" s="166">
        <f t="shared" si="2"/>
        <v>33742</v>
      </c>
      <c r="C20" s="131">
        <v>165.85</v>
      </c>
      <c r="D20" s="392">
        <v>1.2</v>
      </c>
      <c r="E20" s="129">
        <f t="shared" si="1"/>
        <v>-5.2361588797670739</v>
      </c>
      <c r="F20" s="143">
        <f t="shared" si="3"/>
        <v>1.3200909763483812</v>
      </c>
      <c r="G20" s="144">
        <v>57.31</v>
      </c>
      <c r="H20" s="39">
        <f t="shared" si="6"/>
        <v>-122.69</v>
      </c>
      <c r="I20" s="129">
        <f t="shared" si="4"/>
        <v>-0.5400934409117103</v>
      </c>
      <c r="J20" s="143">
        <f t="shared" si="5"/>
        <v>-0.84160505885132897</v>
      </c>
      <c r="N20" s="85">
        <f t="shared" si="7"/>
        <v>1.2566370614359172</v>
      </c>
      <c r="O20" s="6">
        <f t="shared" si="8"/>
        <v>-5.0057334109547265</v>
      </c>
      <c r="P20" s="41">
        <f t="shared" si="9"/>
        <v>2.0557060582827149</v>
      </c>
      <c r="Q20" s="6">
        <f t="shared" si="10"/>
        <v>-5.241662721782947</v>
      </c>
      <c r="R20" s="7">
        <f t="shared" si="11"/>
        <v>1.2066989357629685</v>
      </c>
    </row>
    <row r="21" spans="1:18" x14ac:dyDescent="0.2">
      <c r="A21" s="19">
        <f t="shared" si="0"/>
        <v>20</v>
      </c>
      <c r="B21" s="166">
        <f t="shared" si="2"/>
        <v>33752</v>
      </c>
      <c r="C21" s="131">
        <v>166.61</v>
      </c>
      <c r="D21" s="392">
        <v>1.2</v>
      </c>
      <c r="E21" s="129">
        <f t="shared" si="1"/>
        <v>-5.2532080795753551</v>
      </c>
      <c r="F21" s="143">
        <f t="shared" si="3"/>
        <v>1.2505218401468305</v>
      </c>
      <c r="G21" s="144">
        <v>66.92</v>
      </c>
      <c r="H21" s="39">
        <f t="shared" si="6"/>
        <v>-113.08</v>
      </c>
      <c r="I21" s="129">
        <f t="shared" si="4"/>
        <v>-0.39201601443436029</v>
      </c>
      <c r="J21" s="143">
        <f t="shared" si="5"/>
        <v>-0.91995839276947711</v>
      </c>
      <c r="N21" s="85">
        <f t="shared" si="7"/>
        <v>1.8849555921538759</v>
      </c>
      <c r="O21" s="6">
        <f t="shared" si="8"/>
        <v>-5.1293402087047051</v>
      </c>
      <c r="P21" s="41">
        <f t="shared" si="9"/>
        <v>2.0557060582827149</v>
      </c>
      <c r="Q21" s="6">
        <f t="shared" si="10"/>
        <v>-5.3652695195329256</v>
      </c>
      <c r="R21" s="7">
        <f t="shared" si="11"/>
        <v>1.2066989357629685</v>
      </c>
    </row>
    <row r="22" spans="1:18" x14ac:dyDescent="0.2">
      <c r="A22" s="19">
        <f t="shared" si="0"/>
        <v>21</v>
      </c>
      <c r="B22" s="166">
        <f t="shared" si="2"/>
        <v>33762</v>
      </c>
      <c r="C22" s="131">
        <v>167.38</v>
      </c>
      <c r="D22" s="392">
        <v>1.2</v>
      </c>
      <c r="E22" s="129">
        <f t="shared" si="1"/>
        <v>-5.2695390030910829</v>
      </c>
      <c r="F22" s="143">
        <f t="shared" si="3"/>
        <v>1.1798129914956172</v>
      </c>
      <c r="G22" s="144">
        <v>76.5</v>
      </c>
      <c r="H22" s="39">
        <f t="shared" si="6"/>
        <v>-103.5</v>
      </c>
      <c r="I22" s="129">
        <f t="shared" si="4"/>
        <v>-0.23344536385590534</v>
      </c>
      <c r="J22" s="143">
        <f t="shared" si="5"/>
        <v>-0.97236992039767667</v>
      </c>
      <c r="N22" s="85">
        <f t="shared" si="7"/>
        <v>2.5132741228718345</v>
      </c>
      <c r="O22" s="6">
        <f t="shared" si="8"/>
        <v>-5.2293402087047056</v>
      </c>
      <c r="P22" s="41">
        <f t="shared" si="9"/>
        <v>1.9830518054821786</v>
      </c>
      <c r="Q22" s="6">
        <f t="shared" si="10"/>
        <v>-5.4652695195329262</v>
      </c>
      <c r="R22" s="7">
        <f t="shared" si="11"/>
        <v>1.1340446829624324</v>
      </c>
    </row>
    <row r="23" spans="1:18" x14ac:dyDescent="0.2">
      <c r="A23" s="19">
        <f t="shared" si="0"/>
        <v>22</v>
      </c>
      <c r="B23" s="166">
        <f t="shared" si="2"/>
        <v>33772</v>
      </c>
      <c r="C23" s="131">
        <v>168.14</v>
      </c>
      <c r="D23" s="392">
        <v>1.2</v>
      </c>
      <c r="E23" s="129">
        <f t="shared" si="1"/>
        <v>-5.2847246032850759</v>
      </c>
      <c r="F23" s="143">
        <f t="shared" si="3"/>
        <v>1.1098134381207529</v>
      </c>
      <c r="G23" s="144">
        <v>86.05</v>
      </c>
      <c r="H23" s="39">
        <f t="shared" si="6"/>
        <v>-93.95</v>
      </c>
      <c r="I23" s="129">
        <f t="shared" si="4"/>
        <v>-6.8885908434494769E-2</v>
      </c>
      <c r="J23" s="143">
        <f t="shared" si="5"/>
        <v>-0.99762454441495896</v>
      </c>
      <c r="N23" s="85">
        <f t="shared" si="7"/>
        <v>3.1415926535897931</v>
      </c>
      <c r="O23" s="6">
        <f t="shared" si="8"/>
        <v>-5.2675368098297159</v>
      </c>
      <c r="P23" s="41">
        <f t="shared" si="9"/>
        <v>1.865494755023684</v>
      </c>
      <c r="Q23" s="6">
        <f t="shared" si="10"/>
        <v>-5.5034661206579365</v>
      </c>
      <c r="R23" s="7">
        <f t="shared" si="11"/>
        <v>1.0164876325039378</v>
      </c>
    </row>
    <row r="24" spans="1:18" x14ac:dyDescent="0.2">
      <c r="A24" s="19">
        <f t="shared" si="0"/>
        <v>23</v>
      </c>
      <c r="B24" s="166">
        <f t="shared" si="2"/>
        <v>33782</v>
      </c>
      <c r="C24" s="131">
        <v>168.9</v>
      </c>
      <c r="D24" s="392">
        <v>1.2</v>
      </c>
      <c r="E24" s="129">
        <f t="shared" si="1"/>
        <v>-5.2989803855581243</v>
      </c>
      <c r="F24" s="143">
        <f t="shared" si="3"/>
        <v>1.0396186192399006</v>
      </c>
      <c r="G24" s="260">
        <v>95.59</v>
      </c>
      <c r="H24" s="39">
        <f t="shared" si="6"/>
        <v>-84.41</v>
      </c>
      <c r="I24" s="129">
        <f t="shared" si="4"/>
        <v>9.7409198324401314E-2</v>
      </c>
      <c r="J24" s="143">
        <f t="shared" si="5"/>
        <v>-0.99524441625250903</v>
      </c>
      <c r="N24" s="85">
        <f t="shared" si="7"/>
        <v>3.7699111843077517</v>
      </c>
      <c r="O24" s="6">
        <f t="shared" si="8"/>
        <v>-5.2293402087047056</v>
      </c>
      <c r="P24" s="41">
        <f t="shared" si="9"/>
        <v>1.7479377045651894</v>
      </c>
      <c r="Q24" s="6">
        <f t="shared" si="10"/>
        <v>-5.4652695195329262</v>
      </c>
      <c r="R24" s="7">
        <f t="shared" si="11"/>
        <v>0.89893058204544318</v>
      </c>
    </row>
    <row r="25" spans="1:18" x14ac:dyDescent="0.2">
      <c r="A25" s="19">
        <f t="shared" si="0"/>
        <v>24</v>
      </c>
      <c r="B25" s="166">
        <v>33786</v>
      </c>
      <c r="C25" s="131">
        <v>169.15</v>
      </c>
      <c r="D25" s="392">
        <v>1.2</v>
      </c>
      <c r="E25" s="129">
        <f t="shared" si="1"/>
        <v>-5.3034661206579363</v>
      </c>
      <c r="F25" s="143">
        <f t="shared" si="3"/>
        <v>1.0164876325039378</v>
      </c>
      <c r="G25" s="260">
        <v>99.41</v>
      </c>
      <c r="H25" s="39">
        <f t="shared" si="6"/>
        <v>-80.59</v>
      </c>
      <c r="I25" s="129">
        <f t="shared" si="4"/>
        <v>0.16349814907843704</v>
      </c>
      <c r="J25" s="143">
        <f t="shared" si="5"/>
        <v>-0.98654364082280976</v>
      </c>
      <c r="N25" s="85">
        <f t="shared" si="7"/>
        <v>4.3982297150257104</v>
      </c>
      <c r="O25" s="6">
        <f t="shared" si="8"/>
        <v>-5.1293402087047051</v>
      </c>
      <c r="P25" s="41">
        <f t="shared" si="9"/>
        <v>1.6752834517646533</v>
      </c>
      <c r="Q25" s="6">
        <f t="shared" si="10"/>
        <v>-5.3652695195329256</v>
      </c>
      <c r="R25" s="7">
        <f t="shared" si="11"/>
        <v>0.82627632924490713</v>
      </c>
    </row>
    <row r="26" spans="1:18" x14ac:dyDescent="0.2">
      <c r="A26" s="19">
        <f t="shared" si="0"/>
        <v>25</v>
      </c>
      <c r="B26" s="25">
        <f>B24+10</f>
        <v>33792</v>
      </c>
      <c r="C26" s="387">
        <v>169.67</v>
      </c>
      <c r="D26" s="393">
        <v>1.2</v>
      </c>
      <c r="E26" s="129">
        <f t="shared" si="1"/>
        <v>-5.3124729252196241</v>
      </c>
      <c r="F26" s="143">
        <f t="shared" si="3"/>
        <v>0.96831369855458183</v>
      </c>
      <c r="G26" s="144">
        <v>105.13</v>
      </c>
      <c r="H26" s="39">
        <f t="shared" si="6"/>
        <v>-74.87</v>
      </c>
      <c r="I26" s="129">
        <f t="shared" si="4"/>
        <v>0.26100999319755741</v>
      </c>
      <c r="J26" s="143">
        <f t="shared" si="5"/>
        <v>-0.96533609869879566</v>
      </c>
      <c r="K26" s="379"/>
      <c r="L26" s="380"/>
      <c r="M26" s="376"/>
      <c r="N26" s="85">
        <f t="shared" si="7"/>
        <v>5.026548245743669</v>
      </c>
      <c r="O26" s="6">
        <f t="shared" si="8"/>
        <v>-5.0057334109547265</v>
      </c>
      <c r="P26" s="41">
        <f t="shared" si="9"/>
        <v>1.6752834517646533</v>
      </c>
      <c r="Q26" s="6">
        <f t="shared" si="10"/>
        <v>-5.241662721782947</v>
      </c>
      <c r="R26" s="7">
        <f t="shared" si="11"/>
        <v>0.82627632924490713</v>
      </c>
    </row>
    <row r="27" spans="1:18" x14ac:dyDescent="0.2">
      <c r="A27" s="19">
        <f t="shared" si="0"/>
        <v>26</v>
      </c>
      <c r="B27" s="25">
        <f t="shared" si="2"/>
        <v>33802</v>
      </c>
      <c r="C27" s="387">
        <v>170.43</v>
      </c>
      <c r="D27" s="393">
        <v>1.2</v>
      </c>
      <c r="E27" s="129">
        <f t="shared" si="1"/>
        <v>-5.3248493978274647</v>
      </c>
      <c r="F27" s="143">
        <f t="shared" si="3"/>
        <v>0.89776327083284524</v>
      </c>
      <c r="G27" s="144">
        <v>114.67</v>
      </c>
      <c r="H27" s="39">
        <f t="shared" si="6"/>
        <v>-65.33</v>
      </c>
      <c r="I27" s="129">
        <f t="shared" si="4"/>
        <v>0.41739132277312441</v>
      </c>
      <c r="J27" s="143">
        <f t="shared" si="5"/>
        <v>-0.90872684766859479</v>
      </c>
      <c r="K27" s="379"/>
      <c r="L27" s="380"/>
      <c r="M27" s="376"/>
      <c r="N27" s="85">
        <f t="shared" si="7"/>
        <v>5.6548667764616276</v>
      </c>
      <c r="O27" s="6">
        <f t="shared" si="8"/>
        <v>-4.9057334109547259</v>
      </c>
      <c r="P27" s="41">
        <f t="shared" si="9"/>
        <v>1.7479377045651894</v>
      </c>
      <c r="Q27" s="6">
        <f t="shared" si="10"/>
        <v>-5.1416627217829465</v>
      </c>
      <c r="R27" s="7">
        <f t="shared" si="11"/>
        <v>0.89893058204544318</v>
      </c>
    </row>
    <row r="28" spans="1:18" ht="13.5" thickBot="1" x14ac:dyDescent="0.25">
      <c r="A28" s="19">
        <f t="shared" si="0"/>
        <v>27</v>
      </c>
      <c r="B28" s="25">
        <f t="shared" si="2"/>
        <v>33812</v>
      </c>
      <c r="C28" s="394">
        <v>171.19</v>
      </c>
      <c r="D28" s="393">
        <v>1.2</v>
      </c>
      <c r="E28" s="129">
        <f t="shared" si="1"/>
        <v>-5.3362889927797799</v>
      </c>
      <c r="F28" s="143">
        <f t="shared" si="3"/>
        <v>0.82705488665346205</v>
      </c>
      <c r="G28" s="145">
        <v>124.21</v>
      </c>
      <c r="H28" s="129">
        <f t="shared" si="6"/>
        <v>-55.790000000000006</v>
      </c>
      <c r="I28" s="129">
        <f t="shared" si="4"/>
        <v>0.56222772208238203</v>
      </c>
      <c r="J28" s="143">
        <f t="shared" si="5"/>
        <v>-0.82698245962175998</v>
      </c>
      <c r="K28" s="379"/>
      <c r="L28" s="380"/>
      <c r="M28" s="376"/>
      <c r="N28" s="86">
        <f t="shared" si="7"/>
        <v>6.2831853071795862</v>
      </c>
      <c r="O28" s="56">
        <f t="shared" si="8"/>
        <v>-4.8675368098297156</v>
      </c>
      <c r="P28" s="84">
        <f t="shared" si="9"/>
        <v>1.865494755023684</v>
      </c>
      <c r="Q28" s="56">
        <f t="shared" si="10"/>
        <v>-5.1034661206579361</v>
      </c>
      <c r="R28" s="57">
        <f t="shared" si="11"/>
        <v>1.0164876325039378</v>
      </c>
    </row>
    <row r="29" spans="1:18" x14ac:dyDescent="0.2">
      <c r="A29" s="19">
        <f t="shared" si="0"/>
        <v>28</v>
      </c>
      <c r="B29" s="25">
        <f t="shared" si="2"/>
        <v>33822</v>
      </c>
      <c r="C29" s="387">
        <v>171.96</v>
      </c>
      <c r="D29" s="388">
        <v>1.2</v>
      </c>
      <c r="E29" s="129">
        <f t="shared" si="1"/>
        <v>-5.3469215978767437</v>
      </c>
      <c r="F29" s="143">
        <f t="shared" si="3"/>
        <v>0.75526778440445708</v>
      </c>
      <c r="G29" s="145">
        <v>133.78</v>
      </c>
      <c r="H29" s="129">
        <f t="shared" si="6"/>
        <v>-46.22</v>
      </c>
      <c r="I29" s="129">
        <f t="shared" si="4"/>
        <v>0.69189118985994491</v>
      </c>
      <c r="J29" s="143">
        <f t="shared" si="5"/>
        <v>-0.72200178766689338</v>
      </c>
      <c r="K29" s="97"/>
      <c r="L29" s="97"/>
      <c r="N29" s="1"/>
      <c r="O29" s="12"/>
      <c r="P29" s="12"/>
    </row>
    <row r="30" spans="1:18" x14ac:dyDescent="0.2">
      <c r="A30" s="19">
        <f t="shared" si="0"/>
        <v>29</v>
      </c>
      <c r="B30" s="25">
        <f t="shared" si="2"/>
        <v>33832</v>
      </c>
      <c r="C30" s="394">
        <v>172.72</v>
      </c>
      <c r="D30" s="393">
        <v>1.2</v>
      </c>
      <c r="E30" s="129">
        <f t="shared" si="1"/>
        <v>-5.3564691748056559</v>
      </c>
      <c r="F30" s="143">
        <f t="shared" si="3"/>
        <v>0.68427916770629604</v>
      </c>
      <c r="G30" s="145">
        <v>143.38</v>
      </c>
      <c r="H30" s="129">
        <f t="shared" si="6"/>
        <v>-36.620000000000005</v>
      </c>
      <c r="I30" s="129">
        <f t="shared" si="4"/>
        <v>0.80260930454189505</v>
      </c>
      <c r="J30" s="143">
        <f t="shared" si="5"/>
        <v>-0.59650507480052128</v>
      </c>
      <c r="K30" s="379"/>
      <c r="L30" s="380"/>
      <c r="M30" s="376"/>
    </row>
    <row r="31" spans="1:18" x14ac:dyDescent="0.2">
      <c r="A31" s="19">
        <f t="shared" si="0"/>
        <v>30</v>
      </c>
      <c r="B31" s="25">
        <f>B30+10</f>
        <v>33842</v>
      </c>
      <c r="C31" s="387">
        <v>173.48</v>
      </c>
      <c r="D31" s="393">
        <v>1.3</v>
      </c>
      <c r="E31" s="129">
        <f t="shared" si="1"/>
        <v>-5.3650743107550296</v>
      </c>
      <c r="F31" s="143">
        <f t="shared" si="3"/>
        <v>0.61317015589186397</v>
      </c>
      <c r="G31" s="144">
        <v>153.01</v>
      </c>
      <c r="H31" s="39">
        <f t="shared" si="6"/>
        <v>-26.990000000000009</v>
      </c>
      <c r="I31" s="129">
        <f t="shared" si="4"/>
        <v>0.89108574690709241</v>
      </c>
      <c r="J31" s="143">
        <f t="shared" si="5"/>
        <v>-0.45383498285062734</v>
      </c>
      <c r="K31" s="379"/>
      <c r="L31" s="380"/>
      <c r="M31" s="376"/>
    </row>
    <row r="32" spans="1:18" x14ac:dyDescent="0.2">
      <c r="A32" s="19">
        <f t="shared" si="0"/>
        <v>31</v>
      </c>
      <c r="B32" s="25">
        <f t="shared" si="2"/>
        <v>33852</v>
      </c>
      <c r="C32" s="387">
        <v>174.24</v>
      </c>
      <c r="D32" s="393">
        <v>1.3</v>
      </c>
      <c r="E32" s="129">
        <f t="shared" si="1"/>
        <v>-5.3727354916990215</v>
      </c>
      <c r="F32" s="143">
        <f t="shared" si="3"/>
        <v>0.54195326019656087</v>
      </c>
      <c r="G32" s="144">
        <v>162.68</v>
      </c>
      <c r="H32" s="39">
        <f t="shared" si="6"/>
        <v>-17.319999999999993</v>
      </c>
      <c r="I32" s="129">
        <f t="shared" si="4"/>
        <v>0.95465693792424455</v>
      </c>
      <c r="J32" s="143">
        <f t="shared" si="5"/>
        <v>-0.29770813034431054</v>
      </c>
      <c r="K32" s="379"/>
      <c r="L32" s="380"/>
      <c r="M32" s="376"/>
    </row>
    <row r="33" spans="1:15" x14ac:dyDescent="0.2">
      <c r="A33" s="19">
        <f t="shared" si="0"/>
        <v>32</v>
      </c>
      <c r="B33" s="25">
        <f t="shared" si="2"/>
        <v>33862</v>
      </c>
      <c r="C33" s="387">
        <v>175</v>
      </c>
      <c r="D33" s="393">
        <v>1.3</v>
      </c>
      <c r="E33" s="129">
        <f t="shared" si="1"/>
        <v>-5.3794513696954267</v>
      </c>
      <c r="F33" s="143">
        <f t="shared" si="3"/>
        <v>0.47064101083735427</v>
      </c>
      <c r="G33" s="144">
        <v>172.4</v>
      </c>
      <c r="H33" s="39">
        <f t="shared" si="6"/>
        <v>-7.5999999999999943</v>
      </c>
      <c r="I33" s="129">
        <f t="shared" si="4"/>
        <v>0.99121554025154168</v>
      </c>
      <c r="J33" s="143">
        <f t="shared" si="5"/>
        <v>-0.13225639025712235</v>
      </c>
      <c r="K33" s="379"/>
      <c r="L33" s="380"/>
      <c r="M33" s="376"/>
    </row>
    <row r="34" spans="1:15" x14ac:dyDescent="0.2">
      <c r="A34" s="19">
        <f t="shared" si="0"/>
        <v>33</v>
      </c>
      <c r="B34" s="255">
        <v>33864</v>
      </c>
      <c r="C34" s="395">
        <v>175.15</v>
      </c>
      <c r="D34" s="396">
        <v>1.2</v>
      </c>
      <c r="E34" s="256">
        <f>5.4*COS(RADIANS(C34))</f>
        <v>-5.3806650684943671</v>
      </c>
      <c r="F34" s="257">
        <f>5.4*SIN(RADIANS(C34))</f>
        <v>0.45655604331178651</v>
      </c>
      <c r="G34" s="258">
        <v>175.33</v>
      </c>
      <c r="H34" s="259">
        <f t="shared" si="6"/>
        <v>-4.6699999999999875</v>
      </c>
      <c r="I34" s="256">
        <f>1*COS(RADIANS(H34))</f>
        <v>0.99668015310197322</v>
      </c>
      <c r="J34" s="257">
        <f>1*SIN(RADIANS(H34))</f>
        <v>-8.1416659306478012E-2</v>
      </c>
      <c r="K34" s="261" t="s">
        <v>80</v>
      </c>
      <c r="L34" s="377"/>
      <c r="M34" s="188"/>
    </row>
    <row r="35" spans="1:15" x14ac:dyDescent="0.2">
      <c r="A35" s="19">
        <f t="shared" si="0"/>
        <v>34</v>
      </c>
      <c r="B35" s="25">
        <f>B33+10</f>
        <v>33872</v>
      </c>
      <c r="C35" s="36">
        <v>175.76</v>
      </c>
      <c r="D35" s="393">
        <v>1.3</v>
      </c>
      <c r="E35" s="129">
        <f t="shared" si="1"/>
        <v>-5.3852207631228382</v>
      </c>
      <c r="F35" s="143">
        <f t="shared" si="3"/>
        <v>0.399245954808161</v>
      </c>
      <c r="G35" s="144">
        <v>182.17</v>
      </c>
      <c r="H35" s="26">
        <f t="shared" si="6"/>
        <v>2.1699999999999875</v>
      </c>
      <c r="I35" s="131">
        <f t="shared" si="4"/>
        <v>0.99928287924274095</v>
      </c>
      <c r="J35" s="146">
        <f t="shared" si="5"/>
        <v>3.7864591009775503E-2</v>
      </c>
      <c r="K35" s="253" t="s">
        <v>81</v>
      </c>
      <c r="L35" s="380"/>
      <c r="M35" s="380"/>
      <c r="N35" s="97"/>
    </row>
    <row r="36" spans="1:15" x14ac:dyDescent="0.2">
      <c r="A36" s="19">
        <f t="shared" si="0"/>
        <v>35</v>
      </c>
      <c r="B36" s="25">
        <f t="shared" ref="B36:B45" si="12">B35+10</f>
        <v>33882</v>
      </c>
      <c r="C36" s="36">
        <v>176.52</v>
      </c>
      <c r="D36" s="393">
        <v>1.3</v>
      </c>
      <c r="E36" s="129">
        <f t="shared" si="1"/>
        <v>-5.3900426568885509</v>
      </c>
      <c r="F36" s="143">
        <f t="shared" si="3"/>
        <v>0.32778065367226156</v>
      </c>
      <c r="G36" s="144">
        <v>192.01</v>
      </c>
      <c r="H36" s="26">
        <f t="shared" si="6"/>
        <v>12.009999999999991</v>
      </c>
      <c r="I36" s="131">
        <f t="shared" si="4"/>
        <v>0.97811129840036848</v>
      </c>
      <c r="J36" s="146">
        <f t="shared" si="5"/>
        <v>0.20808240661224919</v>
      </c>
      <c r="K36" s="39"/>
      <c r="L36" s="39"/>
      <c r="M36" s="379"/>
      <c r="N36" s="97"/>
    </row>
    <row r="37" spans="1:15" x14ac:dyDescent="0.2">
      <c r="A37" s="19">
        <f t="shared" si="0"/>
        <v>36</v>
      </c>
      <c r="B37" s="25">
        <f t="shared" si="12"/>
        <v>33892</v>
      </c>
      <c r="C37" s="36">
        <v>177.28</v>
      </c>
      <c r="D37" s="393">
        <v>1.3</v>
      </c>
      <c r="E37" s="129">
        <f t="shared" si="1"/>
        <v>-5.3939162026071568</v>
      </c>
      <c r="F37" s="143">
        <f t="shared" si="3"/>
        <v>0.25625768135218713</v>
      </c>
      <c r="G37" s="144">
        <v>201.89</v>
      </c>
      <c r="H37" s="26">
        <f t="shared" si="6"/>
        <v>21.889999999999986</v>
      </c>
      <c r="I37" s="131">
        <f t="shared" si="4"/>
        <v>0.92790133841559197</v>
      </c>
      <c r="J37" s="146">
        <f t="shared" si="5"/>
        <v>0.37282583892020299</v>
      </c>
      <c r="K37" s="39"/>
      <c r="L37" s="39"/>
      <c r="M37" s="379"/>
      <c r="N37" s="380"/>
      <c r="O37" s="376"/>
    </row>
    <row r="38" spans="1:15" x14ac:dyDescent="0.2">
      <c r="A38" s="19">
        <f t="shared" si="0"/>
        <v>37</v>
      </c>
      <c r="B38" s="25">
        <f t="shared" si="12"/>
        <v>33902</v>
      </c>
      <c r="C38" s="36">
        <v>178.04</v>
      </c>
      <c r="D38" s="393">
        <v>1.3</v>
      </c>
      <c r="E38" s="129">
        <f t="shared" si="1"/>
        <v>-5.3968407187498153</v>
      </c>
      <c r="F38" s="143">
        <f t="shared" si="3"/>
        <v>0.18468962191738583</v>
      </c>
      <c r="G38" s="144">
        <v>211.83</v>
      </c>
      <c r="H38" s="26">
        <f t="shared" si="6"/>
        <v>31.830000000000013</v>
      </c>
      <c r="I38" s="131">
        <f t="shared" si="4"/>
        <v>0.84961666308870354</v>
      </c>
      <c r="J38" s="146">
        <f t="shared" si="5"/>
        <v>0.52740072601582222</v>
      </c>
      <c r="K38" s="39"/>
      <c r="L38" s="39"/>
      <c r="M38" s="379"/>
      <c r="N38" s="380"/>
      <c r="O38" s="376"/>
    </row>
    <row r="39" spans="1:15" x14ac:dyDescent="0.2">
      <c r="A39" s="19">
        <f t="shared" si="0"/>
        <v>38</v>
      </c>
      <c r="B39" s="25">
        <f t="shared" si="12"/>
        <v>33912</v>
      </c>
      <c r="C39" s="36">
        <v>178.8</v>
      </c>
      <c r="D39" s="393">
        <v>1.3</v>
      </c>
      <c r="E39" s="129">
        <f t="shared" si="1"/>
        <v>-5.3988156907641658</v>
      </c>
      <c r="F39" s="143">
        <f t="shared" si="3"/>
        <v>0.113089067370126</v>
      </c>
      <c r="G39" s="144">
        <v>221.83</v>
      </c>
      <c r="H39" s="26">
        <f t="shared" si="6"/>
        <v>41.830000000000013</v>
      </c>
      <c r="I39" s="131">
        <f t="shared" si="4"/>
        <v>0.74512690192525277</v>
      </c>
      <c r="J39" s="146">
        <f t="shared" si="5"/>
        <v>0.66692270918546082</v>
      </c>
      <c r="K39" s="39"/>
      <c r="L39" s="39"/>
      <c r="M39" s="379"/>
      <c r="N39" s="380"/>
      <c r="O39" s="376"/>
    </row>
    <row r="40" spans="1:15" x14ac:dyDescent="0.2">
      <c r="A40" s="19">
        <f t="shared" si="0"/>
        <v>39</v>
      </c>
      <c r="B40" s="25">
        <f t="shared" si="12"/>
        <v>33922</v>
      </c>
      <c r="C40" s="36">
        <v>179.56</v>
      </c>
      <c r="D40" s="393">
        <v>1.3</v>
      </c>
      <c r="E40" s="129">
        <f t="shared" si="1"/>
        <v>-5.3998407711648611</v>
      </c>
      <c r="F40" s="143">
        <f t="shared" si="3"/>
        <v>4.1468615430027028E-2</v>
      </c>
      <c r="G40" s="144">
        <v>231.87</v>
      </c>
      <c r="H40" s="26">
        <f t="shared" si="6"/>
        <v>51.870000000000005</v>
      </c>
      <c r="I40" s="131">
        <f t="shared" si="4"/>
        <v>0.61744782875395354</v>
      </c>
      <c r="J40" s="146">
        <f t="shared" si="5"/>
        <v>0.78661183487602604</v>
      </c>
      <c r="K40" s="39"/>
      <c r="L40" s="39"/>
      <c r="M40" s="379"/>
      <c r="N40" s="380"/>
      <c r="O40" s="376"/>
    </row>
    <row r="41" spans="1:15" x14ac:dyDescent="0.2">
      <c r="A41" s="19">
        <f t="shared" si="0"/>
        <v>40</v>
      </c>
      <c r="B41" s="25">
        <f t="shared" si="12"/>
        <v>33932</v>
      </c>
      <c r="C41" s="36">
        <v>180.31</v>
      </c>
      <c r="D41" s="393">
        <v>1.3</v>
      </c>
      <c r="E41" s="129">
        <f t="shared" si="1"/>
        <v>-5.3999209611109027</v>
      </c>
      <c r="F41" s="143">
        <f t="shared" si="3"/>
        <v>-2.9216669131064538E-2</v>
      </c>
      <c r="G41" s="144">
        <v>241.96</v>
      </c>
      <c r="H41" s="26">
        <f t="shared" si="6"/>
        <v>61.960000000000008</v>
      </c>
      <c r="I41" s="131">
        <f t="shared" si="4"/>
        <v>0.4700878620331681</v>
      </c>
      <c r="J41" s="146">
        <f t="shared" si="5"/>
        <v>0.88261962473598166</v>
      </c>
      <c r="K41" s="39"/>
      <c r="L41" s="39"/>
      <c r="M41" s="379"/>
      <c r="N41" s="380"/>
      <c r="O41" s="376"/>
    </row>
    <row r="42" spans="1:15" x14ac:dyDescent="0.2">
      <c r="A42" s="19">
        <f t="shared" si="0"/>
        <v>41</v>
      </c>
      <c r="B42" s="25">
        <f t="shared" si="12"/>
        <v>33942</v>
      </c>
      <c r="C42" s="36">
        <v>181.07</v>
      </c>
      <c r="D42" s="393">
        <v>1.3</v>
      </c>
      <c r="E42" s="129">
        <f t="shared" si="1"/>
        <v>-5.3990583848601092</v>
      </c>
      <c r="F42" s="143">
        <f t="shared" si="3"/>
        <v>-0.10083926255062614</v>
      </c>
      <c r="G42" s="144">
        <v>252.09</v>
      </c>
      <c r="H42" s="26">
        <f t="shared" si="6"/>
        <v>72.09</v>
      </c>
      <c r="I42" s="131">
        <f t="shared" si="4"/>
        <v>0.30752269767256729</v>
      </c>
      <c r="J42" s="146">
        <f t="shared" si="5"/>
        <v>0.95154074553651502</v>
      </c>
      <c r="K42" s="39"/>
      <c r="L42" s="39"/>
      <c r="M42" s="379"/>
      <c r="N42" s="380"/>
      <c r="O42" s="376"/>
    </row>
    <row r="43" spans="1:15" x14ac:dyDescent="0.2">
      <c r="A43" s="19">
        <f t="shared" si="0"/>
        <v>42</v>
      </c>
      <c r="B43" s="25">
        <f t="shared" si="12"/>
        <v>33952</v>
      </c>
      <c r="C43" s="36">
        <v>181.83</v>
      </c>
      <c r="D43" s="393">
        <v>1.3</v>
      </c>
      <c r="E43" s="129">
        <f t="shared" si="1"/>
        <v>-5.3972458742949829</v>
      </c>
      <c r="F43" s="143">
        <f t="shared" si="3"/>
        <v>-0.1724441138624162</v>
      </c>
      <c r="G43" s="144">
        <v>262.25</v>
      </c>
      <c r="H43" s="26">
        <f t="shared" si="6"/>
        <v>82.25</v>
      </c>
      <c r="I43" s="131">
        <f t="shared" si="4"/>
        <v>0.13485093027372308</v>
      </c>
      <c r="J43" s="146">
        <f t="shared" si="5"/>
        <v>0.99086589738688224</v>
      </c>
      <c r="K43" s="39"/>
      <c r="L43" s="39"/>
      <c r="M43" s="379"/>
      <c r="N43" s="380"/>
      <c r="O43" s="376"/>
    </row>
    <row r="44" spans="1:15" x14ac:dyDescent="0.2">
      <c r="A44" s="19">
        <f t="shared" si="0"/>
        <v>43</v>
      </c>
      <c r="B44" s="25">
        <f t="shared" si="12"/>
        <v>33962</v>
      </c>
      <c r="C44" s="6">
        <v>182.59</v>
      </c>
      <c r="D44" s="393">
        <v>1.3</v>
      </c>
      <c r="E44" s="129">
        <f t="shared" si="1"/>
        <v>-5.3944837483166816</v>
      </c>
      <c r="F44" s="143">
        <f t="shared" si="3"/>
        <v>-0.24401862459083304</v>
      </c>
      <c r="G44" s="144">
        <v>272.43</v>
      </c>
      <c r="H44" s="129">
        <f t="shared" si="6"/>
        <v>92.43</v>
      </c>
      <c r="I44" s="147">
        <f t="shared" si="4"/>
        <v>-4.2398787455584293E-2</v>
      </c>
      <c r="J44" s="148">
        <f t="shared" si="5"/>
        <v>0.99910076710124496</v>
      </c>
      <c r="K44" s="39"/>
      <c r="L44" s="39"/>
      <c r="M44" s="379"/>
      <c r="N44" s="380"/>
      <c r="O44" s="376"/>
    </row>
    <row r="45" spans="1:15" ht="13.5" thickBot="1" x14ac:dyDescent="0.25">
      <c r="A45" s="19">
        <f t="shared" si="0"/>
        <v>44</v>
      </c>
      <c r="B45" s="33">
        <f t="shared" si="12"/>
        <v>33972</v>
      </c>
      <c r="C45" s="56">
        <v>183.34</v>
      </c>
      <c r="D45" s="397">
        <v>2.2999999999999998</v>
      </c>
      <c r="E45" s="134">
        <f>5.4*COS(RADIANS(C45))</f>
        <v>-5.3908274846992148</v>
      </c>
      <c r="F45" s="149">
        <f>5.4*SIN(RADIANS(C45))</f>
        <v>-0.31460932950493048</v>
      </c>
      <c r="G45" s="150">
        <v>282.62</v>
      </c>
      <c r="H45" s="151">
        <f t="shared" si="6"/>
        <v>102.62</v>
      </c>
      <c r="I45" s="233">
        <f t="shared" si="4"/>
        <v>-0.21848388731400303</v>
      </c>
      <c r="J45" s="152">
        <f t="shared" si="5"/>
        <v>0.97584055612797838</v>
      </c>
      <c r="K45" s="90"/>
      <c r="L45" s="90"/>
      <c r="M45" s="90"/>
      <c r="N45" s="380"/>
      <c r="O45" s="376"/>
    </row>
    <row r="46" spans="1:15" ht="13.5" thickBot="1" x14ac:dyDescent="0.25">
      <c r="A46" s="19">
        <f t="shared" si="0"/>
        <v>45</v>
      </c>
      <c r="B46" s="477" t="s">
        <v>23</v>
      </c>
      <c r="C46" s="478"/>
      <c r="D46" s="478"/>
      <c r="E46" s="478"/>
      <c r="F46" s="478"/>
      <c r="G46" s="6"/>
      <c r="H46" s="6"/>
      <c r="I46" s="23"/>
      <c r="J46" s="23"/>
      <c r="K46" s="4"/>
      <c r="L46" s="4"/>
      <c r="M46" s="4"/>
      <c r="N46" s="4"/>
      <c r="O46" s="4"/>
    </row>
    <row r="47" spans="1:15" x14ac:dyDescent="0.2">
      <c r="A47" s="19">
        <f t="shared" si="0"/>
        <v>46</v>
      </c>
      <c r="B47" s="62"/>
      <c r="C47" s="63" t="s">
        <v>33</v>
      </c>
      <c r="D47" s="64">
        <v>0</v>
      </c>
      <c r="E47" s="64">
        <v>0</v>
      </c>
      <c r="F47" s="462" t="s">
        <v>22</v>
      </c>
      <c r="G47" s="467"/>
      <c r="H47" s="467"/>
      <c r="I47" s="69">
        <f>E12</f>
        <v>-5.0675368098297158</v>
      </c>
      <c r="J47" s="70">
        <f>F12</f>
        <v>1.865494755023684</v>
      </c>
      <c r="K47" s="468" t="s">
        <v>38</v>
      </c>
      <c r="L47" s="469"/>
      <c r="N47" s="4"/>
      <c r="O47" s="4"/>
    </row>
    <row r="48" spans="1:15" ht="13.5" thickBot="1" x14ac:dyDescent="0.25">
      <c r="A48" s="19">
        <f t="shared" si="0"/>
        <v>47</v>
      </c>
      <c r="B48" s="460" t="s">
        <v>37</v>
      </c>
      <c r="C48" s="461"/>
      <c r="D48" s="65">
        <f>E12</f>
        <v>-5.0675368098297158</v>
      </c>
      <c r="E48" s="66">
        <f>F12</f>
        <v>1.865494755023684</v>
      </c>
      <c r="F48" s="71"/>
      <c r="G48" s="67"/>
      <c r="H48" s="67"/>
      <c r="I48" s="49">
        <f>I12</f>
        <v>-0.93758581905808813</v>
      </c>
      <c r="J48" s="50">
        <f>J12</f>
        <v>0.34775398186242817</v>
      </c>
      <c r="K48" s="51"/>
      <c r="L48" s="72"/>
      <c r="N48" s="4"/>
      <c r="O48" s="4"/>
    </row>
    <row r="49" spans="1:15" x14ac:dyDescent="0.2">
      <c r="A49" s="19">
        <f t="shared" si="0"/>
        <v>48</v>
      </c>
      <c r="B49" s="462" t="s">
        <v>40</v>
      </c>
      <c r="C49" s="463"/>
      <c r="D49" s="464"/>
      <c r="E49" s="6"/>
      <c r="F49" s="73" t="s">
        <v>32</v>
      </c>
      <c r="G49" s="40">
        <f>E25</f>
        <v>-5.3034661206579363</v>
      </c>
      <c r="H49" s="68">
        <f>F25</f>
        <v>1.0164876325039378</v>
      </c>
      <c r="I49" s="48">
        <f>E34</f>
        <v>-5.3806650684943671</v>
      </c>
      <c r="J49" s="40">
        <f>F34</f>
        <v>0.45655604331178651</v>
      </c>
      <c r="K49" s="465" t="s">
        <v>39</v>
      </c>
      <c r="L49" s="466"/>
      <c r="O49" s="4"/>
    </row>
    <row r="50" spans="1:15" ht="13.5" thickBot="1" x14ac:dyDescent="0.25">
      <c r="A50" s="19">
        <f t="shared" si="0"/>
        <v>49</v>
      </c>
      <c r="B50" s="82" t="s">
        <v>32</v>
      </c>
      <c r="C50" s="35">
        <f>E25</f>
        <v>-5.3034661206579363</v>
      </c>
      <c r="D50" s="32">
        <f>F25</f>
        <v>1.0164876325039378</v>
      </c>
      <c r="F50" s="74"/>
      <c r="G50" s="75">
        <f>I25</f>
        <v>0.16349814907843704</v>
      </c>
      <c r="H50" s="76">
        <f>J25</f>
        <v>-0.98654364082280976</v>
      </c>
      <c r="I50" s="77">
        <f>I34</f>
        <v>0.99668015310197322</v>
      </c>
      <c r="J50" s="78">
        <f>J34</f>
        <v>-8.1416659306478012E-2</v>
      </c>
      <c r="K50" s="79"/>
      <c r="L50" s="80"/>
      <c r="O50" s="4"/>
    </row>
    <row r="51" spans="1:15" ht="13.5" thickBot="1" x14ac:dyDescent="0.25">
      <c r="A51" s="19">
        <f t="shared" si="0"/>
        <v>50</v>
      </c>
      <c r="B51" s="74"/>
      <c r="C51" s="75">
        <v>0</v>
      </c>
      <c r="D51" s="81">
        <v>0</v>
      </c>
      <c r="G51" s="97"/>
      <c r="H51" s="39"/>
      <c r="I51" s="97"/>
      <c r="M51" s="97"/>
      <c r="N51" s="379"/>
      <c r="O51" s="379"/>
    </row>
    <row r="52" spans="1:15" x14ac:dyDescent="0.2">
      <c r="A52" s="20"/>
      <c r="E52" s="6"/>
      <c r="F52" s="6"/>
      <c r="G52" s="39"/>
      <c r="H52" s="39"/>
      <c r="I52" s="118"/>
      <c r="J52" s="23"/>
      <c r="K52" s="6"/>
      <c r="L52" s="6"/>
      <c r="O52" s="378"/>
    </row>
    <row r="53" spans="1:15" x14ac:dyDescent="0.2">
      <c r="A53" s="20"/>
      <c r="B53" s="22"/>
      <c r="C53" s="381"/>
      <c r="D53" s="23"/>
      <c r="E53" s="6"/>
      <c r="F53" s="6"/>
      <c r="G53" s="6"/>
      <c r="H53" s="6"/>
      <c r="I53" s="23"/>
      <c r="J53" s="23"/>
      <c r="K53" s="6"/>
      <c r="L53" s="6"/>
      <c r="M53" s="4"/>
      <c r="O53" s="4"/>
    </row>
    <row r="54" spans="1:15" x14ac:dyDescent="0.2">
      <c r="A54" s="20"/>
      <c r="B54" s="22"/>
      <c r="C54" s="381"/>
      <c r="D54" s="23"/>
      <c r="E54" s="6"/>
      <c r="F54" s="6"/>
      <c r="G54" s="6"/>
      <c r="H54" s="6"/>
      <c r="I54" s="23"/>
      <c r="J54" s="23"/>
      <c r="K54" s="6"/>
      <c r="L54" s="6"/>
      <c r="M54" s="4"/>
      <c r="N54" s="4"/>
      <c r="O54" s="4"/>
    </row>
    <row r="55" spans="1:15" x14ac:dyDescent="0.2">
      <c r="A55" s="20"/>
      <c r="B55" s="22"/>
      <c r="C55" s="381"/>
      <c r="D55" s="23"/>
      <c r="E55" s="6"/>
      <c r="F55" s="5"/>
      <c r="G55" s="5"/>
      <c r="H55" s="5"/>
      <c r="I55" s="6"/>
      <c r="J55" s="6"/>
      <c r="K55" s="6"/>
      <c r="L55" s="6"/>
      <c r="M55" s="4"/>
      <c r="N55" s="4"/>
      <c r="O55" s="378"/>
    </row>
    <row r="56" spans="1:15" x14ac:dyDescent="0.2">
      <c r="A56" s="20"/>
      <c r="G56" s="4"/>
      <c r="H56" s="4"/>
      <c r="I56" s="4"/>
      <c r="J56" s="4"/>
      <c r="K56" s="23"/>
      <c r="L56" s="23"/>
      <c r="M56" s="4"/>
      <c r="N56" s="4"/>
      <c r="O56" s="4"/>
    </row>
    <row r="57" spans="1:15" x14ac:dyDescent="0.2">
      <c r="A57" s="20"/>
      <c r="M57" s="381"/>
      <c r="N57" s="4"/>
      <c r="O57" s="4"/>
    </row>
    <row r="58" spans="1:15" x14ac:dyDescent="0.2">
      <c r="A58" s="20"/>
      <c r="M58" s="6"/>
      <c r="N58" s="381"/>
      <c r="O58" s="4"/>
    </row>
    <row r="59" spans="1:15" x14ac:dyDescent="0.2">
      <c r="A59" s="20"/>
      <c r="N59" s="6"/>
      <c r="O59" s="1"/>
    </row>
    <row r="60" spans="1:15" x14ac:dyDescent="0.2">
      <c r="A60" s="20"/>
    </row>
    <row r="61" spans="1:15" x14ac:dyDescent="0.2">
      <c r="A61" s="20"/>
      <c r="B61" s="2"/>
      <c r="C61" s="1"/>
      <c r="D61" s="1"/>
      <c r="E61" s="1"/>
      <c r="F61" s="8"/>
      <c r="G61" s="1"/>
      <c r="H61" s="1"/>
      <c r="I61" s="1"/>
      <c r="J61" s="1"/>
    </row>
    <row r="62" spans="1:15" x14ac:dyDescent="0.2">
      <c r="A62" s="20"/>
      <c r="B62" s="1"/>
      <c r="C62" s="1"/>
      <c r="D62" s="1"/>
      <c r="E62" s="1"/>
      <c r="F62" s="8"/>
      <c r="G62" s="1"/>
      <c r="H62" s="1"/>
      <c r="I62" s="1"/>
      <c r="J62" s="1"/>
      <c r="K62" s="381"/>
      <c r="L62" s="381"/>
    </row>
    <row r="63" spans="1:15" x14ac:dyDescent="0.2">
      <c r="A63" s="20"/>
      <c r="B63" s="1"/>
      <c r="C63" s="1"/>
      <c r="D63" s="1"/>
      <c r="E63" s="1"/>
      <c r="F63" s="8"/>
      <c r="G63" s="1"/>
      <c r="H63" s="1"/>
      <c r="I63" s="1"/>
      <c r="J63" s="1"/>
      <c r="K63" s="381"/>
      <c r="L63" s="381"/>
    </row>
    <row r="64" spans="1:15" x14ac:dyDescent="0.2">
      <c r="A64" s="20"/>
      <c r="B64" s="1"/>
      <c r="C64" s="1"/>
      <c r="D64" s="1"/>
      <c r="E64" s="1"/>
      <c r="F64" s="8"/>
      <c r="G64" s="1"/>
      <c r="H64" s="1"/>
      <c r="I64" s="1"/>
      <c r="J64" s="1"/>
      <c r="K64" s="381"/>
      <c r="L64" s="381"/>
      <c r="M64" s="1"/>
    </row>
    <row r="65" spans="1:14" x14ac:dyDescent="0.2">
      <c r="A65" s="20"/>
      <c r="B65" s="1"/>
      <c r="C65" s="1"/>
      <c r="D65" s="1"/>
      <c r="E65" s="1"/>
      <c r="F65" s="8"/>
      <c r="G65" s="1"/>
      <c r="H65" s="1"/>
      <c r="I65" s="1"/>
      <c r="J65" s="1"/>
      <c r="K65" s="381"/>
      <c r="L65" s="381"/>
      <c r="M65" s="1"/>
      <c r="N65" s="1"/>
    </row>
    <row r="66" spans="1:14" x14ac:dyDescent="0.2">
      <c r="A66" s="20"/>
      <c r="B66" s="1"/>
      <c r="C66" s="1"/>
      <c r="D66" s="1"/>
      <c r="E66" s="1"/>
      <c r="F66" s="8"/>
      <c r="G66" s="1"/>
      <c r="H66" s="1"/>
      <c r="I66" s="1"/>
      <c r="J66" s="1"/>
      <c r="K66" s="381"/>
      <c r="L66" s="381"/>
      <c r="M66" s="1"/>
      <c r="N66" s="1"/>
    </row>
    <row r="67" spans="1:14" x14ac:dyDescent="0.2">
      <c r="A67" s="20"/>
      <c r="B67" s="1"/>
      <c r="C67" s="1"/>
      <c r="D67" s="1"/>
      <c r="E67" s="1"/>
      <c r="F67" s="1"/>
      <c r="G67" s="8"/>
      <c r="H67" s="8"/>
      <c r="I67" s="1"/>
      <c r="J67" s="1"/>
      <c r="K67" s="381"/>
      <c r="L67" s="381"/>
      <c r="M67" s="1"/>
      <c r="N67" s="1"/>
    </row>
    <row r="68" spans="1:14" x14ac:dyDescent="0.2">
      <c r="A68" s="20"/>
      <c r="B68" s="1"/>
      <c r="C68" s="1"/>
      <c r="D68" s="1"/>
      <c r="E68" s="1"/>
      <c r="F68" s="1"/>
      <c r="G68" s="8"/>
      <c r="H68" s="8"/>
      <c r="I68" s="1"/>
      <c r="J68" s="1"/>
      <c r="K68" s="1"/>
      <c r="L68" s="381"/>
      <c r="M68" s="1"/>
      <c r="N68" s="1"/>
    </row>
    <row r="69" spans="1:14" x14ac:dyDescent="0.2">
      <c r="A69" s="20"/>
      <c r="B69" s="1"/>
      <c r="C69" s="1"/>
      <c r="D69" s="1"/>
      <c r="E69" s="1"/>
      <c r="F69" s="1"/>
      <c r="G69" s="8"/>
      <c r="H69" s="8"/>
      <c r="I69" s="1"/>
      <c r="J69" s="1"/>
      <c r="K69" s="1"/>
      <c r="L69" s="381"/>
      <c r="M69" s="1"/>
      <c r="N69" s="1"/>
    </row>
    <row r="70" spans="1:14" x14ac:dyDescent="0.2">
      <c r="A70" s="20"/>
      <c r="B70" s="1"/>
      <c r="C70" s="1"/>
      <c r="D70" s="1"/>
      <c r="E70" s="1"/>
      <c r="F70" s="1"/>
      <c r="G70" s="8"/>
      <c r="H70" s="8"/>
      <c r="I70" s="1"/>
      <c r="J70" s="1"/>
      <c r="K70" s="1"/>
      <c r="L70" s="381"/>
      <c r="M70" s="381"/>
      <c r="N70" s="1"/>
    </row>
    <row r="71" spans="1:14" x14ac:dyDescent="0.2">
      <c r="A71" s="20"/>
      <c r="B71" s="1"/>
      <c r="C71" s="1"/>
      <c r="D71" s="1"/>
      <c r="E71" s="1"/>
      <c r="F71" s="1"/>
      <c r="G71" s="8"/>
      <c r="H71" s="8"/>
      <c r="I71" s="1"/>
      <c r="J71" s="1"/>
      <c r="K71" s="1"/>
      <c r="L71" s="381"/>
      <c r="M71" s="381"/>
      <c r="N71" s="1"/>
    </row>
    <row r="72" spans="1:14" x14ac:dyDescent="0.2">
      <c r="A72" s="20"/>
      <c r="G72" s="9"/>
      <c r="H72" s="9"/>
      <c r="K72" s="1"/>
      <c r="L72" s="4"/>
      <c r="M72" s="381"/>
      <c r="N72" s="1"/>
    </row>
    <row r="73" spans="1:14" x14ac:dyDescent="0.2">
      <c r="A73" s="20"/>
      <c r="G73" s="9"/>
      <c r="H73" s="9"/>
      <c r="M73" s="381"/>
      <c r="N73" s="1"/>
    </row>
    <row r="74" spans="1:14" x14ac:dyDescent="0.2">
      <c r="A74" s="21"/>
      <c r="G74" s="9"/>
      <c r="H74" s="9"/>
      <c r="M74" s="4"/>
      <c r="N74" s="1"/>
    </row>
    <row r="75" spans="1:14" x14ac:dyDescent="0.2">
      <c r="G75" s="9"/>
      <c r="H75" s="9"/>
      <c r="N75" s="1"/>
    </row>
    <row r="76" spans="1:14" x14ac:dyDescent="0.2">
      <c r="G76" s="9"/>
      <c r="H76" s="9"/>
    </row>
    <row r="77" spans="1:14" x14ac:dyDescent="0.2">
      <c r="G77" s="9"/>
      <c r="H77" s="9"/>
    </row>
    <row r="78" spans="1:14" x14ac:dyDescent="0.2">
      <c r="G78" s="9"/>
      <c r="H78" s="9"/>
    </row>
    <row r="79" spans="1:14" x14ac:dyDescent="0.2">
      <c r="B79" s="4"/>
      <c r="C79" s="88"/>
      <c r="D79" s="88"/>
      <c r="E79" s="4"/>
      <c r="G79" s="9"/>
      <c r="H79" s="9"/>
    </row>
    <row r="80" spans="1:14" x14ac:dyDescent="0.2">
      <c r="B80" s="4"/>
      <c r="C80" s="61"/>
      <c r="D80" s="381"/>
      <c r="E80" s="381"/>
      <c r="G80" s="9"/>
      <c r="H80" s="9"/>
    </row>
    <row r="81" spans="1:17" x14ac:dyDescent="0.2">
      <c r="B81" s="4"/>
      <c r="C81" s="6"/>
      <c r="D81" s="6"/>
      <c r="E81" s="6"/>
      <c r="G81" s="9"/>
      <c r="H81" s="9"/>
    </row>
    <row r="82" spans="1:17" x14ac:dyDescent="0.2">
      <c r="B82" s="4"/>
      <c r="C82" s="6"/>
      <c r="D82" s="6"/>
      <c r="E82" s="6"/>
      <c r="G82" s="9"/>
      <c r="H82" s="9"/>
    </row>
    <row r="83" spans="1:17" x14ac:dyDescent="0.2">
      <c r="B83" s="4"/>
      <c r="C83" s="6"/>
      <c r="D83" s="6"/>
      <c r="E83" s="6"/>
      <c r="G83" s="9"/>
      <c r="H83" s="9"/>
    </row>
    <row r="84" spans="1:17" x14ac:dyDescent="0.2">
      <c r="A84" s="90"/>
      <c r="B84" s="379"/>
      <c r="C84" s="39"/>
      <c r="D84" s="39"/>
      <c r="E84" s="39"/>
      <c r="F84" s="379"/>
      <c r="G84" s="180"/>
      <c r="H84" s="180"/>
      <c r="I84" s="379"/>
      <c r="J84" s="379"/>
      <c r="K84" s="379"/>
      <c r="L84" s="379"/>
      <c r="M84" s="418"/>
      <c r="N84" s="418"/>
      <c r="O84" s="418"/>
      <c r="P84" s="418"/>
      <c r="Q84" s="418"/>
    </row>
    <row r="85" spans="1:17" x14ac:dyDescent="0.2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418"/>
      <c r="N85" s="418"/>
      <c r="O85" s="418"/>
      <c r="P85" s="418"/>
      <c r="Q85" s="418"/>
    </row>
    <row r="86" spans="1:17" ht="11.1" customHeight="1" x14ac:dyDescent="0.25">
      <c r="A86" s="109"/>
      <c r="B86" s="425"/>
      <c r="C86" s="425"/>
      <c r="D86" s="156"/>
      <c r="E86" s="156"/>
      <c r="F86" s="156"/>
      <c r="G86" s="156"/>
      <c r="H86" s="156"/>
      <c r="I86" s="156"/>
      <c r="J86" s="156"/>
      <c r="K86" s="286"/>
      <c r="L86" s="379"/>
      <c r="M86" s="418"/>
      <c r="N86" s="418"/>
      <c r="O86" s="418"/>
      <c r="P86" s="418"/>
      <c r="Q86" s="418"/>
    </row>
    <row r="87" spans="1:17" x14ac:dyDescent="0.2">
      <c r="A87" s="203"/>
      <c r="B87" s="289"/>
      <c r="C87" s="289"/>
      <c r="D87" s="340"/>
      <c r="E87" s="340"/>
      <c r="F87" s="340"/>
      <c r="G87" s="289"/>
      <c r="H87" s="340"/>
      <c r="I87" s="340"/>
      <c r="J87" s="340"/>
      <c r="K87" s="156"/>
      <c r="L87" s="340"/>
      <c r="M87" s="378"/>
      <c r="N87" s="418"/>
      <c r="O87" s="418"/>
      <c r="P87" s="418"/>
      <c r="Q87" s="418"/>
    </row>
    <row r="88" spans="1:17" ht="15" x14ac:dyDescent="0.25">
      <c r="A88" s="340"/>
      <c r="B88" s="419"/>
      <c r="C88" s="339"/>
      <c r="D88" s="339"/>
      <c r="E88" s="177"/>
      <c r="F88" s="177"/>
      <c r="G88" s="421"/>
      <c r="H88" s="422"/>
      <c r="I88" s="203"/>
      <c r="J88" s="203"/>
      <c r="K88" s="379"/>
      <c r="L88" s="379"/>
      <c r="M88" s="378"/>
      <c r="N88" s="378"/>
      <c r="O88" s="418"/>
      <c r="P88" s="418"/>
      <c r="Q88" s="418"/>
    </row>
    <row r="89" spans="1:17" x14ac:dyDescent="0.2">
      <c r="A89" s="340"/>
      <c r="B89" s="379"/>
      <c r="C89" s="339"/>
      <c r="D89" s="339"/>
      <c r="E89" s="110"/>
      <c r="F89" s="110"/>
      <c r="G89" s="339"/>
      <c r="H89" s="339"/>
      <c r="I89" s="110"/>
      <c r="J89" s="110"/>
      <c r="K89" s="379"/>
      <c r="L89" s="379"/>
      <c r="M89" s="378"/>
      <c r="N89" s="378"/>
      <c r="O89" s="418"/>
      <c r="P89" s="418"/>
      <c r="Q89" s="418"/>
    </row>
    <row r="90" spans="1:17" x14ac:dyDescent="0.2">
      <c r="A90" s="340"/>
      <c r="B90" s="124"/>
      <c r="C90" s="423"/>
      <c r="D90" s="420"/>
      <c r="E90" s="39"/>
      <c r="F90" s="39"/>
      <c r="G90" s="203"/>
      <c r="H90" s="39"/>
      <c r="I90" s="39"/>
      <c r="J90" s="39"/>
      <c r="K90" s="379"/>
      <c r="L90" s="379"/>
      <c r="M90" s="378"/>
      <c r="N90" s="378"/>
      <c r="O90" s="418"/>
      <c r="P90" s="418"/>
      <c r="Q90" s="418"/>
    </row>
    <row r="91" spans="1:17" x14ac:dyDescent="0.2">
      <c r="A91" s="340"/>
      <c r="B91" s="124"/>
      <c r="C91" s="423"/>
      <c r="D91" s="420"/>
      <c r="E91" s="39"/>
      <c r="F91" s="39"/>
      <c r="G91" s="203"/>
      <c r="H91" s="39"/>
      <c r="I91" s="39"/>
      <c r="J91" s="39"/>
      <c r="K91" s="379"/>
      <c r="L91" s="379"/>
      <c r="M91" s="378"/>
      <c r="N91" s="378"/>
      <c r="O91" s="418"/>
      <c r="P91" s="418"/>
      <c r="Q91" s="418"/>
    </row>
    <row r="92" spans="1:17" x14ac:dyDescent="0.2">
      <c r="A92" s="340"/>
      <c r="B92" s="124"/>
      <c r="C92" s="423"/>
      <c r="D92" s="420"/>
      <c r="E92" s="39"/>
      <c r="F92" s="39"/>
      <c r="G92" s="203"/>
      <c r="H92" s="39"/>
      <c r="I92" s="39"/>
      <c r="J92" s="39"/>
      <c r="K92" s="426"/>
      <c r="L92" s="379"/>
      <c r="M92" s="378"/>
      <c r="N92" s="378"/>
      <c r="O92" s="418"/>
      <c r="P92" s="418"/>
      <c r="Q92" s="418"/>
    </row>
    <row r="93" spans="1:17" x14ac:dyDescent="0.2">
      <c r="A93" s="340"/>
      <c r="B93" s="124"/>
      <c r="C93" s="423"/>
      <c r="D93" s="420"/>
      <c r="E93" s="39"/>
      <c r="F93" s="39"/>
      <c r="G93" s="423"/>
      <c r="H93" s="39"/>
      <c r="I93" s="39"/>
      <c r="J93" s="39"/>
      <c r="K93" s="426"/>
      <c r="L93" s="379"/>
      <c r="M93" s="378"/>
      <c r="N93" s="378"/>
      <c r="O93" s="418"/>
      <c r="P93" s="418"/>
      <c r="Q93" s="418"/>
    </row>
    <row r="94" spans="1:17" x14ac:dyDescent="0.2">
      <c r="A94" s="340"/>
      <c r="B94" s="124"/>
      <c r="C94" s="423"/>
      <c r="D94" s="420"/>
      <c r="E94" s="39"/>
      <c r="F94" s="39"/>
      <c r="G94" s="423"/>
      <c r="H94" s="39"/>
      <c r="I94" s="39"/>
      <c r="J94" s="39"/>
      <c r="K94" s="379"/>
      <c r="L94" s="379"/>
      <c r="M94" s="378"/>
      <c r="N94" s="378"/>
      <c r="O94" s="418"/>
      <c r="P94" s="418"/>
      <c r="Q94" s="418"/>
    </row>
    <row r="95" spans="1:17" x14ac:dyDescent="0.2">
      <c r="A95" s="340"/>
      <c r="B95" s="124"/>
      <c r="C95" s="39"/>
      <c r="D95" s="420"/>
      <c r="E95" s="39"/>
      <c r="F95" s="39"/>
      <c r="G95" s="39"/>
      <c r="H95" s="39"/>
      <c r="I95" s="39"/>
      <c r="J95" s="39"/>
      <c r="K95" s="379"/>
      <c r="L95" s="379"/>
      <c r="M95" s="378"/>
      <c r="N95" s="378"/>
      <c r="O95" s="418"/>
      <c r="P95" s="418"/>
      <c r="Q95" s="418"/>
    </row>
    <row r="96" spans="1:17" x14ac:dyDescent="0.2">
      <c r="A96" s="340"/>
      <c r="B96" s="124"/>
      <c r="C96" s="39"/>
      <c r="D96" s="420"/>
      <c r="E96" s="39"/>
      <c r="F96" s="39"/>
      <c r="G96" s="39"/>
      <c r="H96" s="39"/>
      <c r="I96" s="39"/>
      <c r="J96" s="39"/>
      <c r="K96" s="139"/>
      <c r="L96" s="379"/>
      <c r="M96" s="378"/>
      <c r="N96" s="378"/>
      <c r="O96" s="418"/>
      <c r="P96" s="418"/>
      <c r="Q96" s="418"/>
    </row>
    <row r="97" spans="1:17" x14ac:dyDescent="0.2">
      <c r="A97" s="340"/>
      <c r="B97" s="124"/>
      <c r="C97" s="39"/>
      <c r="D97" s="420"/>
      <c r="E97" s="39"/>
      <c r="F97" s="39"/>
      <c r="G97" s="39"/>
      <c r="H97" s="39"/>
      <c r="I97" s="39"/>
      <c r="J97" s="39"/>
      <c r="K97" s="252"/>
      <c r="L97" s="379"/>
      <c r="M97" s="378"/>
      <c r="N97" s="378"/>
      <c r="O97" s="418"/>
      <c r="P97" s="418"/>
      <c r="Q97" s="418"/>
    </row>
    <row r="98" spans="1:17" x14ac:dyDescent="0.2">
      <c r="A98" s="340"/>
      <c r="B98" s="124"/>
      <c r="C98" s="39"/>
      <c r="D98" s="420"/>
      <c r="E98" s="39"/>
      <c r="F98" s="39"/>
      <c r="G98" s="39"/>
      <c r="H98" s="39"/>
      <c r="I98" s="39"/>
      <c r="J98" s="39"/>
      <c r="K98" s="379"/>
      <c r="L98" s="379"/>
      <c r="M98" s="378"/>
      <c r="N98" s="378"/>
      <c r="O98" s="418"/>
      <c r="P98" s="418"/>
      <c r="Q98" s="418"/>
    </row>
    <row r="99" spans="1:17" x14ac:dyDescent="0.2">
      <c r="A99" s="340"/>
      <c r="B99" s="124"/>
      <c r="C99" s="39"/>
      <c r="D99" s="420"/>
      <c r="E99" s="39"/>
      <c r="F99" s="39"/>
      <c r="G99" s="39"/>
      <c r="H99" s="39"/>
      <c r="I99" s="39"/>
      <c r="J99" s="39"/>
      <c r="K99" s="426"/>
      <c r="L99" s="379"/>
      <c r="M99" s="378"/>
      <c r="N99" s="378"/>
      <c r="O99" s="418"/>
      <c r="P99" s="418"/>
      <c r="Q99" s="418"/>
    </row>
    <row r="100" spans="1:17" x14ac:dyDescent="0.2">
      <c r="A100" s="340"/>
      <c r="B100" s="124"/>
      <c r="C100" s="39"/>
      <c r="D100" s="420"/>
      <c r="E100" s="39"/>
      <c r="F100" s="39"/>
      <c r="G100" s="39"/>
      <c r="H100" s="39"/>
      <c r="I100" s="39"/>
      <c r="J100" s="39"/>
      <c r="K100" s="379"/>
      <c r="L100" s="379"/>
      <c r="M100" s="378"/>
      <c r="N100" s="378"/>
      <c r="O100" s="418"/>
      <c r="P100" s="418"/>
      <c r="Q100" s="418"/>
    </row>
    <row r="101" spans="1:17" x14ac:dyDescent="0.2">
      <c r="A101" s="340"/>
      <c r="B101" s="124"/>
      <c r="C101" s="39"/>
      <c r="D101" s="420"/>
      <c r="E101" s="39"/>
      <c r="F101" s="39"/>
      <c r="G101" s="39"/>
      <c r="H101" s="39"/>
      <c r="I101" s="39"/>
      <c r="J101" s="39"/>
      <c r="K101" s="379"/>
      <c r="L101" s="379"/>
      <c r="M101" s="378"/>
      <c r="N101" s="378"/>
      <c r="O101" s="418"/>
      <c r="P101" s="418"/>
      <c r="Q101" s="418"/>
    </row>
    <row r="102" spans="1:17" x14ac:dyDescent="0.2">
      <c r="A102" s="424"/>
      <c r="B102" s="424"/>
      <c r="C102" s="424"/>
      <c r="D102" s="424"/>
      <c r="E102" s="424"/>
      <c r="F102" s="424"/>
      <c r="G102" s="424"/>
      <c r="H102" s="424"/>
      <c r="I102" s="424"/>
      <c r="J102" s="424"/>
      <c r="K102" s="379"/>
      <c r="L102" s="379"/>
      <c r="M102" s="378"/>
      <c r="N102" s="378"/>
      <c r="O102" s="418"/>
      <c r="P102" s="418"/>
      <c r="Q102" s="418"/>
    </row>
    <row r="103" spans="1:17" x14ac:dyDescent="0.2">
      <c r="A103" s="340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  <c r="M103" s="378"/>
      <c r="N103" s="378"/>
      <c r="O103" s="418"/>
      <c r="P103" s="418"/>
      <c r="Q103" s="418"/>
    </row>
    <row r="104" spans="1:17" x14ac:dyDescent="0.2">
      <c r="A104" s="96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418"/>
      <c r="P104" s="418"/>
      <c r="Q104" s="418"/>
    </row>
    <row r="105" spans="1:17" x14ac:dyDescent="0.2"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418"/>
      <c r="P105" s="418"/>
      <c r="Q105" s="418"/>
    </row>
    <row r="106" spans="1:17" x14ac:dyDescent="0.2"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418"/>
      <c r="P106" s="418"/>
      <c r="Q106" s="418"/>
    </row>
    <row r="107" spans="1:17" x14ac:dyDescent="0.2"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418"/>
      <c r="P107" s="418"/>
      <c r="Q107" s="418"/>
    </row>
    <row r="108" spans="1:17" x14ac:dyDescent="0.2"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418"/>
      <c r="P108" s="418"/>
      <c r="Q108" s="418"/>
    </row>
    <row r="109" spans="1:17" x14ac:dyDescent="0.2">
      <c r="B109" s="378"/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418"/>
      <c r="P109" s="418"/>
      <c r="Q109" s="418"/>
    </row>
    <row r="110" spans="1:17" x14ac:dyDescent="0.2">
      <c r="B110" s="378"/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418"/>
      <c r="P110" s="418"/>
      <c r="Q110" s="418"/>
    </row>
    <row r="111" spans="1:17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7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2:14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2:14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2:14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2:14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2:14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2:14" x14ac:dyDescent="0.2">
      <c r="K131" s="4"/>
      <c r="L131" s="4"/>
      <c r="M131" s="4"/>
      <c r="N131" s="4"/>
    </row>
  </sheetData>
  <mergeCells count="10">
    <mergeCell ref="B2:J2"/>
    <mergeCell ref="C3:F3"/>
    <mergeCell ref="G3:J3"/>
    <mergeCell ref="N16:O16"/>
    <mergeCell ref="B46:F46"/>
    <mergeCell ref="B48:C48"/>
    <mergeCell ref="B49:D49"/>
    <mergeCell ref="K49:L49"/>
    <mergeCell ref="F47:H47"/>
    <mergeCell ref="K47:L47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Verfinsterungen</vt:lpstr>
      <vt:lpstr>Bahnen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</dc:creator>
  <cp:lastModifiedBy>Simon</cp:lastModifiedBy>
  <cp:lastPrinted>2011-12-22T20:30:10Z</cp:lastPrinted>
  <dcterms:created xsi:type="dcterms:W3CDTF">2008-02-02T19:49:16Z</dcterms:created>
  <dcterms:modified xsi:type="dcterms:W3CDTF">2012-01-26T12:02:29Z</dcterms:modified>
</cp:coreProperties>
</file>