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drawings/drawing5.xml" ContentType="application/vnd.openxmlformats-officedocument.drawingml.chartshape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105" windowWidth="9090" windowHeight="11220" firstSheet="1" activeTab="6"/>
  </bookViews>
  <sheets>
    <sheet name="Exzentrizität" sheetId="10" r:id="rId1"/>
    <sheet name="Knotenlinie" sheetId="14" r:id="rId2"/>
    <sheet name="Inklination" sheetId="5" r:id="rId3"/>
    <sheet name="Mondbahn" sheetId="13" r:id="rId4"/>
    <sheet name="Rosettenbahn" sheetId="15" r:id="rId5"/>
    <sheet name="Finsternisse" sheetId="16" r:id="rId6"/>
    <sheet name="Vektoren der Störbeschleunigung" sheetId="17" r:id="rId7"/>
  </sheets>
  <calcPr calcId="145621"/>
</workbook>
</file>

<file path=xl/calcChain.xml><?xml version="1.0" encoding="utf-8"?>
<calcChain xmlns="http://schemas.openxmlformats.org/spreadsheetml/2006/main">
  <c r="R43" i="13" l="1"/>
  <c r="S43" i="13"/>
  <c r="R44" i="13"/>
  <c r="S44" i="13"/>
  <c r="R45" i="13"/>
  <c r="S45" i="13"/>
  <c r="R46" i="13"/>
  <c r="S46" i="13"/>
  <c r="R47" i="13"/>
  <c r="S47" i="13"/>
  <c r="R48" i="13"/>
  <c r="S48" i="13"/>
  <c r="R49" i="13"/>
  <c r="S49" i="13"/>
  <c r="R50" i="13"/>
  <c r="S50" i="13"/>
  <c r="R51" i="13"/>
  <c r="S51" i="13"/>
  <c r="R52" i="13"/>
  <c r="S52" i="13"/>
  <c r="R53" i="13"/>
  <c r="S53" i="13"/>
  <c r="R54" i="13"/>
  <c r="S54" i="13"/>
  <c r="R55" i="13"/>
  <c r="S55" i="13"/>
  <c r="R56" i="13"/>
  <c r="S56" i="13"/>
  <c r="R57" i="13"/>
  <c r="S57" i="13"/>
  <c r="R58" i="13"/>
  <c r="S58" i="13"/>
  <c r="R59" i="13"/>
  <c r="S59" i="13"/>
  <c r="R60" i="13"/>
  <c r="S60" i="13"/>
  <c r="R61" i="13"/>
  <c r="S61" i="13"/>
  <c r="R62" i="13"/>
  <c r="S62" i="13"/>
  <c r="R63" i="13"/>
  <c r="S63" i="13"/>
  <c r="R64" i="13"/>
  <c r="S64" i="13"/>
  <c r="R65" i="13"/>
  <c r="S65" i="13"/>
  <c r="R66" i="13"/>
  <c r="S66" i="13"/>
  <c r="R67" i="13"/>
  <c r="S67" i="13"/>
  <c r="R68" i="13"/>
  <c r="S68" i="13"/>
  <c r="R69" i="13"/>
  <c r="S69" i="13"/>
  <c r="S42" i="13"/>
  <c r="R42" i="13"/>
  <c r="R7" i="13"/>
  <c r="S7" i="13"/>
  <c r="R8" i="13"/>
  <c r="S8" i="13"/>
  <c r="R9" i="13"/>
  <c r="S9" i="13"/>
  <c r="R10" i="13"/>
  <c r="S10" i="13"/>
  <c r="R11" i="13"/>
  <c r="S11" i="13"/>
  <c r="R12" i="13"/>
  <c r="S12" i="13"/>
  <c r="R13" i="13"/>
  <c r="S13" i="13"/>
  <c r="R14" i="13"/>
  <c r="S14" i="13"/>
  <c r="R15" i="13"/>
  <c r="S15" i="13"/>
  <c r="R16" i="13"/>
  <c r="S16" i="13"/>
  <c r="R17" i="13"/>
  <c r="S17" i="13"/>
  <c r="R18" i="13"/>
  <c r="S18" i="13"/>
  <c r="R19" i="13"/>
  <c r="S19" i="13"/>
  <c r="R20" i="13"/>
  <c r="S20" i="13"/>
  <c r="R21" i="13"/>
  <c r="S21" i="13"/>
  <c r="R22" i="13"/>
  <c r="S22" i="13"/>
  <c r="R23" i="13"/>
  <c r="S23" i="13"/>
  <c r="R24" i="13"/>
  <c r="S24" i="13"/>
  <c r="R25" i="13"/>
  <c r="S25" i="13"/>
  <c r="R26" i="13"/>
  <c r="S26" i="13"/>
  <c r="R27" i="13"/>
  <c r="S27" i="13"/>
  <c r="R28" i="13"/>
  <c r="S28" i="13"/>
  <c r="R29" i="13"/>
  <c r="S29" i="13"/>
  <c r="R30" i="13"/>
  <c r="S30" i="13"/>
  <c r="R31" i="13"/>
  <c r="S31" i="13"/>
  <c r="R32" i="13"/>
  <c r="S32" i="13"/>
  <c r="R33" i="13"/>
  <c r="S33" i="13"/>
  <c r="R34" i="13"/>
  <c r="S34" i="13"/>
  <c r="R35" i="13"/>
  <c r="S35" i="13"/>
  <c r="R36" i="13"/>
  <c r="S36" i="13"/>
  <c r="S6" i="13"/>
  <c r="R6" i="13"/>
  <c r="G7" i="13"/>
  <c r="H7" i="13"/>
  <c r="G8" i="13"/>
  <c r="H8" i="13"/>
  <c r="G9" i="13"/>
  <c r="H9" i="13"/>
  <c r="G10" i="13"/>
  <c r="H10" i="13"/>
  <c r="G11" i="13"/>
  <c r="H11" i="13"/>
  <c r="G12" i="13"/>
  <c r="H12" i="13"/>
  <c r="G13" i="13"/>
  <c r="H13" i="13"/>
  <c r="G14" i="13"/>
  <c r="H14" i="13"/>
  <c r="G15" i="13"/>
  <c r="H15" i="13"/>
  <c r="G16" i="13"/>
  <c r="H16" i="13"/>
  <c r="G17" i="13"/>
  <c r="H17" i="13"/>
  <c r="G18" i="13"/>
  <c r="H18" i="13"/>
  <c r="G19" i="13"/>
  <c r="H19" i="13"/>
  <c r="G20" i="13"/>
  <c r="H20" i="13"/>
  <c r="G21" i="13"/>
  <c r="H21" i="13"/>
  <c r="G22" i="13"/>
  <c r="H22" i="13"/>
  <c r="G23" i="13"/>
  <c r="H23" i="13"/>
  <c r="G24" i="13"/>
  <c r="H24" i="13"/>
  <c r="G25" i="13"/>
  <c r="H25" i="13"/>
  <c r="G26" i="13"/>
  <c r="H26" i="13"/>
  <c r="G27" i="13"/>
  <c r="H27" i="13"/>
  <c r="G28" i="13"/>
  <c r="H28" i="13"/>
  <c r="G29" i="13"/>
  <c r="H29" i="13"/>
  <c r="G30" i="13"/>
  <c r="H30" i="13"/>
  <c r="G31" i="13"/>
  <c r="H31" i="13"/>
  <c r="G32" i="13"/>
  <c r="H32" i="13"/>
  <c r="G33" i="13"/>
  <c r="H33" i="13"/>
  <c r="G34" i="13"/>
  <c r="H34" i="13"/>
  <c r="G35" i="13"/>
  <c r="H35" i="13"/>
  <c r="G36" i="13"/>
  <c r="H36" i="13"/>
  <c r="G37" i="13"/>
  <c r="H37" i="13"/>
  <c r="G38" i="13"/>
  <c r="H38" i="13"/>
  <c r="G39" i="13"/>
  <c r="H39" i="13"/>
  <c r="G40" i="13"/>
  <c r="H40" i="13"/>
  <c r="G41" i="13"/>
  <c r="H41" i="13"/>
  <c r="G42" i="13"/>
  <c r="H42" i="13"/>
  <c r="G43" i="13"/>
  <c r="H43" i="13"/>
  <c r="G44" i="13"/>
  <c r="H44" i="13"/>
  <c r="G45" i="13"/>
  <c r="H45" i="13"/>
  <c r="G46" i="13"/>
  <c r="H46" i="13"/>
  <c r="G47" i="13"/>
  <c r="H47" i="13"/>
  <c r="G48" i="13"/>
  <c r="H48" i="13"/>
  <c r="G49" i="13"/>
  <c r="H49" i="13"/>
  <c r="G50" i="13"/>
  <c r="H50" i="13"/>
  <c r="G51" i="13"/>
  <c r="H51" i="13"/>
  <c r="G52" i="13"/>
  <c r="H52" i="13"/>
  <c r="G53" i="13"/>
  <c r="H53" i="13"/>
  <c r="G54" i="13"/>
  <c r="H54" i="13"/>
  <c r="G55" i="13"/>
  <c r="H55" i="13"/>
  <c r="G56" i="13"/>
  <c r="H56" i="13"/>
  <c r="G57" i="13"/>
  <c r="H57" i="13"/>
  <c r="G58" i="13"/>
  <c r="H58" i="13"/>
  <c r="G59" i="13"/>
  <c r="H59" i="13"/>
  <c r="G60" i="13"/>
  <c r="H60" i="13"/>
  <c r="G61" i="13"/>
  <c r="H61" i="13"/>
  <c r="G62" i="13"/>
  <c r="H62" i="13"/>
  <c r="G63" i="13"/>
  <c r="H63" i="13"/>
  <c r="G64" i="13"/>
  <c r="H64" i="13"/>
  <c r="H6" i="13"/>
  <c r="G6" i="13"/>
  <c r="N43" i="13" l="1"/>
  <c r="N44" i="13" s="1"/>
  <c r="N45" i="13" s="1"/>
  <c r="N46" i="13" s="1"/>
  <c r="N47" i="13" s="1"/>
  <c r="N48" i="13" s="1"/>
  <c r="N49" i="13" s="1"/>
  <c r="N50" i="13" s="1"/>
  <c r="N51" i="13" s="1"/>
  <c r="N52" i="13" s="1"/>
  <c r="N53" i="13" s="1"/>
  <c r="N54" i="13" s="1"/>
  <c r="N55" i="13" s="1"/>
  <c r="N56" i="13" s="1"/>
  <c r="N57" i="13" s="1"/>
  <c r="N58" i="13" s="1"/>
  <c r="N59" i="13" s="1"/>
  <c r="N60" i="13" s="1"/>
  <c r="N61" i="13" s="1"/>
  <c r="N62" i="13" s="1"/>
  <c r="N63" i="13" s="1"/>
  <c r="N64" i="13" s="1"/>
  <c r="N65" i="13" s="1"/>
  <c r="N66" i="13" s="1"/>
  <c r="N67" i="13" s="1"/>
  <c r="N68" i="13" s="1"/>
  <c r="N69" i="13" s="1"/>
  <c r="N70" i="13" s="1"/>
  <c r="N71" i="13" s="1"/>
  <c r="M43" i="13"/>
  <c r="M44" i="13" s="1"/>
  <c r="M45" i="13" s="1"/>
  <c r="M46" i="13" s="1"/>
  <c r="M47" i="13" s="1"/>
  <c r="M48" i="13" s="1"/>
  <c r="M49" i="13" s="1"/>
  <c r="M50" i="13" s="1"/>
  <c r="M51" i="13" s="1"/>
  <c r="M52" i="13" s="1"/>
  <c r="M53" i="13" s="1"/>
  <c r="M54" i="13" s="1"/>
  <c r="M55" i="13" s="1"/>
  <c r="M56" i="13" s="1"/>
  <c r="M57" i="13" s="1"/>
  <c r="M58" i="13" s="1"/>
  <c r="M59" i="13" s="1"/>
  <c r="M60" i="13" s="1"/>
  <c r="M61" i="13" s="1"/>
  <c r="M62" i="13" s="1"/>
  <c r="M63" i="13" s="1"/>
  <c r="M64" i="13" s="1"/>
  <c r="M65" i="13" s="1"/>
  <c r="M66" i="13" s="1"/>
  <c r="M67" i="13" s="1"/>
  <c r="M68" i="13" s="1"/>
  <c r="M69" i="13" s="1"/>
  <c r="M70" i="13" s="1"/>
  <c r="M71" i="13" s="1"/>
  <c r="L23" i="13"/>
  <c r="L24" i="13" s="1"/>
  <c r="L25" i="13" s="1"/>
  <c r="L26" i="13" s="1"/>
  <c r="L27" i="13" s="1"/>
  <c r="L28" i="13" s="1"/>
  <c r="L29" i="13" s="1"/>
  <c r="L30" i="13" s="1"/>
  <c r="L31" i="13" s="1"/>
  <c r="L32" i="13" s="1"/>
  <c r="L33" i="13" s="1"/>
  <c r="L34" i="13" s="1"/>
  <c r="L35" i="13" s="1"/>
  <c r="L36" i="13" s="1"/>
  <c r="L22" i="13"/>
  <c r="L20" i="13"/>
  <c r="L19" i="13"/>
  <c r="L18" i="13"/>
  <c r="L17" i="13" s="1"/>
  <c r="L16" i="13" s="1"/>
  <c r="L15" i="13" s="1"/>
  <c r="L14" i="13" s="1"/>
  <c r="L13" i="13" s="1"/>
  <c r="L12" i="13" s="1"/>
  <c r="L11" i="13" s="1"/>
  <c r="L10" i="13" s="1"/>
  <c r="L9" i="13" s="1"/>
  <c r="L8" i="13" s="1"/>
  <c r="L7" i="13" s="1"/>
  <c r="L6" i="13" s="1"/>
  <c r="M9" i="13"/>
  <c r="M10" i="13" s="1"/>
  <c r="M11" i="13" s="1"/>
  <c r="M12" i="13" s="1"/>
  <c r="M13" i="13" s="1"/>
  <c r="M14" i="13" s="1"/>
  <c r="M15" i="13" s="1"/>
  <c r="M16" i="13" s="1"/>
  <c r="M17" i="13" s="1"/>
  <c r="M18" i="13" s="1"/>
  <c r="M19" i="13" s="1"/>
  <c r="M20" i="13" s="1"/>
  <c r="M21" i="13" s="1"/>
  <c r="M22" i="13" s="1"/>
  <c r="M23" i="13" s="1"/>
  <c r="M24" i="13" s="1"/>
  <c r="M25" i="13" s="1"/>
  <c r="M26" i="13" s="1"/>
  <c r="M27" i="13" s="1"/>
  <c r="M28" i="13" s="1"/>
  <c r="M29" i="13" s="1"/>
  <c r="M30" i="13" s="1"/>
  <c r="M31" i="13" s="1"/>
  <c r="M32" i="13" s="1"/>
  <c r="M33" i="13" s="1"/>
  <c r="M34" i="13" s="1"/>
  <c r="M35" i="13" s="1"/>
  <c r="M36" i="13" s="1"/>
  <c r="N8" i="13"/>
  <c r="N9" i="13" s="1"/>
  <c r="N10" i="13" s="1"/>
  <c r="N11" i="13" s="1"/>
  <c r="N12" i="13" s="1"/>
  <c r="N13" i="13" s="1"/>
  <c r="N14" i="13" s="1"/>
  <c r="N15" i="13" s="1"/>
  <c r="N16" i="13" s="1"/>
  <c r="N17" i="13" s="1"/>
  <c r="N18" i="13" s="1"/>
  <c r="N19" i="13" s="1"/>
  <c r="N20" i="13" s="1"/>
  <c r="N21" i="13" s="1"/>
  <c r="N22" i="13" s="1"/>
  <c r="N23" i="13" s="1"/>
  <c r="N24" i="13" s="1"/>
  <c r="N25" i="13" s="1"/>
  <c r="N26" i="13" s="1"/>
  <c r="N27" i="13" s="1"/>
  <c r="N28" i="13" s="1"/>
  <c r="N29" i="13" s="1"/>
  <c r="N30" i="13" s="1"/>
  <c r="N31" i="13" s="1"/>
  <c r="N32" i="13" s="1"/>
  <c r="N33" i="13" s="1"/>
  <c r="N34" i="13" s="1"/>
  <c r="N35" i="13" s="1"/>
  <c r="N36" i="13" s="1"/>
  <c r="M8" i="13"/>
  <c r="N7" i="13"/>
  <c r="M7" i="13"/>
  <c r="I39" i="10" l="1"/>
  <c r="C30" i="10"/>
  <c r="I4" i="17" l="1"/>
  <c r="C6" i="17"/>
  <c r="D6" i="17"/>
  <c r="E6" i="17"/>
  <c r="F6" i="17"/>
  <c r="B7" i="17"/>
  <c r="E7" i="17" s="1"/>
  <c r="C7" i="17"/>
  <c r="D7" i="17"/>
  <c r="I55" i="17"/>
  <c r="C58" i="17"/>
  <c r="D58" i="17"/>
  <c r="E58" i="17"/>
  <c r="F58" i="17"/>
  <c r="H58" i="17" s="1"/>
  <c r="G58" i="17"/>
  <c r="B59" i="17"/>
  <c r="D59" i="17" s="1"/>
  <c r="C59" i="17"/>
  <c r="E59" i="17"/>
  <c r="G59" i="17" s="1"/>
  <c r="B61" i="17"/>
  <c r="I58" i="17" l="1"/>
  <c r="F59" i="17"/>
  <c r="H59" i="17" s="1"/>
  <c r="J58" i="17"/>
  <c r="B8" i="17"/>
  <c r="J59" i="17"/>
  <c r="C61" i="17"/>
  <c r="B62" i="17"/>
  <c r="D61" i="17"/>
  <c r="F61" i="17"/>
  <c r="H61" i="17" s="1"/>
  <c r="I59" i="17"/>
  <c r="E61" i="17"/>
  <c r="G61" i="17" s="1"/>
  <c r="F7" i="17"/>
  <c r="B131" i="15"/>
  <c r="C131" i="15"/>
  <c r="D131" i="15"/>
  <c r="E131" i="15"/>
  <c r="B132" i="15"/>
  <c r="C132" i="15"/>
  <c r="D132" i="15"/>
  <c r="E132" i="15"/>
  <c r="B133" i="15"/>
  <c r="C133" i="15"/>
  <c r="D133" i="15"/>
  <c r="E133" i="15"/>
  <c r="D8" i="17" l="1"/>
  <c r="C8" i="17"/>
  <c r="E8" i="17"/>
  <c r="B9" i="17"/>
  <c r="F8" i="17"/>
  <c r="J62" i="17"/>
  <c r="J61" i="17"/>
  <c r="F62" i="17"/>
  <c r="H62" i="17" s="1"/>
  <c r="E62" i="17"/>
  <c r="G62" i="17" s="1"/>
  <c r="B64" i="17"/>
  <c r="C62" i="17"/>
  <c r="D62" i="17"/>
  <c r="I61" i="17"/>
  <c r="I62" i="17"/>
  <c r="J51" i="16"/>
  <c r="J50" i="16"/>
  <c r="J49" i="16"/>
  <c r="J48" i="16"/>
  <c r="J47" i="16"/>
  <c r="J46" i="16"/>
  <c r="J45" i="16"/>
  <c r="J44" i="16"/>
  <c r="J43" i="16"/>
  <c r="J42" i="16"/>
  <c r="J41" i="16"/>
  <c r="J40" i="16"/>
  <c r="J39" i="16"/>
  <c r="J38" i="16"/>
  <c r="J37" i="16"/>
  <c r="J36" i="16"/>
  <c r="J35" i="16"/>
  <c r="J34" i="16"/>
  <c r="J33" i="16"/>
  <c r="D33" i="16"/>
  <c r="J32" i="16"/>
  <c r="D32" i="16"/>
  <c r="J31" i="16"/>
  <c r="D31" i="16"/>
  <c r="J30" i="16"/>
  <c r="D30" i="16"/>
  <c r="J29" i="16"/>
  <c r="D29" i="16"/>
  <c r="J28" i="16"/>
  <c r="D28" i="16"/>
  <c r="J27" i="16"/>
  <c r="D27" i="16"/>
  <c r="J26" i="16"/>
  <c r="D26" i="16"/>
  <c r="J25" i="16"/>
  <c r="D25" i="16"/>
  <c r="J24" i="16"/>
  <c r="D24" i="16"/>
  <c r="J23" i="16"/>
  <c r="D23" i="16"/>
  <c r="J22" i="16"/>
  <c r="D22" i="16"/>
  <c r="J21" i="16"/>
  <c r="D21" i="16"/>
  <c r="J20" i="16"/>
  <c r="D20" i="16"/>
  <c r="J19" i="16"/>
  <c r="D19" i="16"/>
  <c r="J18" i="16"/>
  <c r="D18" i="16"/>
  <c r="J17" i="16"/>
  <c r="D17" i="16"/>
  <c r="J16" i="16"/>
  <c r="D16" i="16"/>
  <c r="J15" i="16"/>
  <c r="D15" i="16"/>
  <c r="J14" i="16"/>
  <c r="D14" i="16"/>
  <c r="J13" i="16"/>
  <c r="D13" i="16"/>
  <c r="J12" i="16"/>
  <c r="D12" i="16"/>
  <c r="J11" i="16"/>
  <c r="D11" i="16"/>
  <c r="J10" i="16"/>
  <c r="D10" i="16"/>
  <c r="J9" i="16"/>
  <c r="D9" i="16"/>
  <c r="J8" i="16"/>
  <c r="D8" i="16"/>
  <c r="J7" i="16"/>
  <c r="D7" i="16"/>
  <c r="J6" i="16"/>
  <c r="D6" i="16"/>
  <c r="J5" i="16"/>
  <c r="D5" i="16"/>
  <c r="D9" i="17" l="1"/>
  <c r="E9" i="17"/>
  <c r="B10" i="17"/>
  <c r="F9" i="17"/>
  <c r="C9" i="17"/>
  <c r="E64" i="17"/>
  <c r="G64" i="17" s="1"/>
  <c r="C64" i="17"/>
  <c r="B65" i="17"/>
  <c r="F64" i="17"/>
  <c r="H64" i="17" s="1"/>
  <c r="D64" i="17"/>
  <c r="S6" i="15"/>
  <c r="R6" i="15"/>
  <c r="S5" i="15"/>
  <c r="R5" i="15"/>
  <c r="S3" i="15"/>
  <c r="R3" i="15"/>
  <c r="O68" i="15"/>
  <c r="P68" i="15"/>
  <c r="Q68" i="15"/>
  <c r="O69" i="15"/>
  <c r="P69" i="15" s="1"/>
  <c r="O70" i="15"/>
  <c r="Q70" i="15" s="1"/>
  <c r="P70" i="15"/>
  <c r="O71" i="15"/>
  <c r="P71" i="15"/>
  <c r="Q71" i="15"/>
  <c r="O72" i="15"/>
  <c r="P72" i="15"/>
  <c r="Q72" i="15"/>
  <c r="O73" i="15"/>
  <c r="P73" i="15" s="1"/>
  <c r="O74" i="15"/>
  <c r="Q74" i="15" s="1"/>
  <c r="P74" i="15"/>
  <c r="O75" i="15"/>
  <c r="P75" i="15"/>
  <c r="Q75" i="15"/>
  <c r="O76" i="15"/>
  <c r="P76" i="15"/>
  <c r="Q76" i="15"/>
  <c r="O77" i="15"/>
  <c r="P77" i="15" s="1"/>
  <c r="O78" i="15"/>
  <c r="Q78" i="15" s="1"/>
  <c r="P78" i="15"/>
  <c r="O79" i="15"/>
  <c r="P79" i="15"/>
  <c r="Q79" i="15"/>
  <c r="O80" i="15"/>
  <c r="P80" i="15"/>
  <c r="Q80" i="15"/>
  <c r="O81" i="15"/>
  <c r="P81" i="15" s="1"/>
  <c r="O82" i="15"/>
  <c r="Q82" i="15" s="1"/>
  <c r="P82" i="15"/>
  <c r="O83" i="15"/>
  <c r="P83" i="15"/>
  <c r="Q83" i="15"/>
  <c r="O84" i="15"/>
  <c r="P84" i="15"/>
  <c r="Q84" i="15"/>
  <c r="O85" i="15"/>
  <c r="P85" i="15" s="1"/>
  <c r="O86" i="15"/>
  <c r="Q86" i="15" s="1"/>
  <c r="P86" i="15"/>
  <c r="O87" i="15"/>
  <c r="P87" i="15"/>
  <c r="Q87" i="15"/>
  <c r="O88" i="15"/>
  <c r="P88" i="15"/>
  <c r="Q88" i="15"/>
  <c r="O89" i="15"/>
  <c r="P89" i="15" s="1"/>
  <c r="O90" i="15"/>
  <c r="Q90" i="15" s="1"/>
  <c r="P90" i="15"/>
  <c r="O91" i="15"/>
  <c r="P91" i="15"/>
  <c r="Q91" i="15"/>
  <c r="O92" i="15"/>
  <c r="P92" i="15"/>
  <c r="Q92" i="15"/>
  <c r="O93" i="15"/>
  <c r="P93" i="15" s="1"/>
  <c r="O94" i="15"/>
  <c r="Q94" i="15" s="1"/>
  <c r="P94" i="15"/>
  <c r="O95" i="15"/>
  <c r="P95" i="15"/>
  <c r="Q95" i="15"/>
  <c r="O96" i="15"/>
  <c r="P96" i="15"/>
  <c r="Q96" i="15"/>
  <c r="O97" i="15"/>
  <c r="P97" i="15" s="1"/>
  <c r="O98" i="15"/>
  <c r="Q98" i="15" s="1"/>
  <c r="P98" i="15"/>
  <c r="O99" i="15"/>
  <c r="P99" i="15"/>
  <c r="Q99" i="15"/>
  <c r="O100" i="15"/>
  <c r="P100" i="15"/>
  <c r="Q100" i="15"/>
  <c r="O101" i="15"/>
  <c r="P101" i="15" s="1"/>
  <c r="O102" i="15"/>
  <c r="Q102" i="15" s="1"/>
  <c r="P102" i="15"/>
  <c r="O103" i="15"/>
  <c r="P103" i="15"/>
  <c r="Q103" i="15"/>
  <c r="O104" i="15"/>
  <c r="P104" i="15"/>
  <c r="Q104" i="15"/>
  <c r="O105" i="15"/>
  <c r="P105" i="15" s="1"/>
  <c r="O106" i="15"/>
  <c r="Q106" i="15" s="1"/>
  <c r="P106" i="15"/>
  <c r="O107" i="15"/>
  <c r="P107" i="15"/>
  <c r="Q107" i="15"/>
  <c r="O108" i="15"/>
  <c r="P108" i="15"/>
  <c r="Q108" i="15"/>
  <c r="O109" i="15"/>
  <c r="P109" i="15" s="1"/>
  <c r="O110" i="15"/>
  <c r="Q110" i="15" s="1"/>
  <c r="P110" i="15"/>
  <c r="O111" i="15"/>
  <c r="P111" i="15"/>
  <c r="Q111" i="15"/>
  <c r="O112" i="15"/>
  <c r="P112" i="15"/>
  <c r="Q112" i="15"/>
  <c r="O113" i="15"/>
  <c r="P113" i="15" s="1"/>
  <c r="O114" i="15"/>
  <c r="Q114" i="15" s="1"/>
  <c r="P114" i="15"/>
  <c r="O115" i="15"/>
  <c r="P115" i="15"/>
  <c r="Q115" i="15"/>
  <c r="O116" i="15"/>
  <c r="P116" i="15"/>
  <c r="Q116" i="15"/>
  <c r="O117" i="15"/>
  <c r="P117" i="15" s="1"/>
  <c r="O118" i="15"/>
  <c r="Q118" i="15" s="1"/>
  <c r="P118" i="15"/>
  <c r="O119" i="15"/>
  <c r="P119" i="15"/>
  <c r="Q119" i="15"/>
  <c r="O120" i="15"/>
  <c r="P120" i="15"/>
  <c r="Q120" i="15"/>
  <c r="O121" i="15"/>
  <c r="P121" i="15" s="1"/>
  <c r="O122" i="15"/>
  <c r="Q122" i="15" s="1"/>
  <c r="P122" i="15"/>
  <c r="O123" i="15"/>
  <c r="P123" i="15"/>
  <c r="Q123" i="15"/>
  <c r="O124" i="15"/>
  <c r="P124" i="15"/>
  <c r="Q124" i="15"/>
  <c r="O125" i="15"/>
  <c r="P125" i="15" s="1"/>
  <c r="O126" i="15"/>
  <c r="Q126" i="15" s="1"/>
  <c r="P126" i="15"/>
  <c r="O127" i="15"/>
  <c r="P127" i="15"/>
  <c r="Q127" i="15"/>
  <c r="O128" i="15"/>
  <c r="P128" i="15"/>
  <c r="Q128" i="15"/>
  <c r="O129" i="15"/>
  <c r="P129" i="15" s="1"/>
  <c r="O130" i="15"/>
  <c r="Q130" i="15" s="1"/>
  <c r="P130" i="15"/>
  <c r="N6" i="15"/>
  <c r="N7" i="15"/>
  <c r="N8" i="15"/>
  <c r="N9" i="15"/>
  <c r="N10" i="15" s="1"/>
  <c r="N11" i="15" s="1"/>
  <c r="N12" i="15" s="1"/>
  <c r="N13" i="15" s="1"/>
  <c r="N14" i="15" s="1"/>
  <c r="N15" i="15" s="1"/>
  <c r="N16" i="15" s="1"/>
  <c r="N17" i="15" s="1"/>
  <c r="N18" i="15" s="1"/>
  <c r="N19" i="15" s="1"/>
  <c r="N20" i="15" s="1"/>
  <c r="N21" i="15" s="1"/>
  <c r="N22" i="15" s="1"/>
  <c r="N23" i="15" s="1"/>
  <c r="N24" i="15" s="1"/>
  <c r="N25" i="15" s="1"/>
  <c r="N26" i="15" s="1"/>
  <c r="N27" i="15" s="1"/>
  <c r="N28" i="15" s="1"/>
  <c r="N29" i="15" s="1"/>
  <c r="N30" i="15" s="1"/>
  <c r="N31" i="15" s="1"/>
  <c r="N32" i="15" s="1"/>
  <c r="N33" i="15" s="1"/>
  <c r="N34" i="15" s="1"/>
  <c r="N35" i="15" s="1"/>
  <c r="N36" i="15" s="1"/>
  <c r="N37" i="15" s="1"/>
  <c r="N38" i="15" s="1"/>
  <c r="N39" i="15" s="1"/>
  <c r="N40" i="15" s="1"/>
  <c r="N41" i="15" s="1"/>
  <c r="N42" i="15" s="1"/>
  <c r="N43" i="15" s="1"/>
  <c r="N44" i="15" s="1"/>
  <c r="N45" i="15" s="1"/>
  <c r="N46" i="15" s="1"/>
  <c r="N47" i="15" s="1"/>
  <c r="N48" i="15" s="1"/>
  <c r="N49" i="15" s="1"/>
  <c r="N50" i="15" s="1"/>
  <c r="N51" i="15" s="1"/>
  <c r="N52" i="15" s="1"/>
  <c r="N53" i="15" s="1"/>
  <c r="N54" i="15" s="1"/>
  <c r="N55" i="15" s="1"/>
  <c r="N56" i="15" s="1"/>
  <c r="N57" i="15" s="1"/>
  <c r="N58" i="15" s="1"/>
  <c r="N59" i="15" s="1"/>
  <c r="N60" i="15" s="1"/>
  <c r="N61" i="15" s="1"/>
  <c r="N62" i="15" s="1"/>
  <c r="N63" i="15" s="1"/>
  <c r="N64" i="15" s="1"/>
  <c r="N65" i="15" s="1"/>
  <c r="N66" i="15" s="1"/>
  <c r="N67" i="15" s="1"/>
  <c r="N68" i="15" s="1"/>
  <c r="N69" i="15" s="1"/>
  <c r="N70" i="15" s="1"/>
  <c r="N71" i="15" s="1"/>
  <c r="N72" i="15" s="1"/>
  <c r="N73" i="15" s="1"/>
  <c r="N74" i="15" s="1"/>
  <c r="N75" i="15" s="1"/>
  <c r="N76" i="15" s="1"/>
  <c r="N77" i="15" s="1"/>
  <c r="N78" i="15" s="1"/>
  <c r="N79" i="15" s="1"/>
  <c r="N80" i="15" s="1"/>
  <c r="N81" i="15" s="1"/>
  <c r="N82" i="15" s="1"/>
  <c r="N83" i="15" s="1"/>
  <c r="N84" i="15" s="1"/>
  <c r="N85" i="15" s="1"/>
  <c r="N86" i="15" s="1"/>
  <c r="N87" i="15" s="1"/>
  <c r="N88" i="15" s="1"/>
  <c r="N89" i="15" s="1"/>
  <c r="N90" i="15" s="1"/>
  <c r="N91" i="15" s="1"/>
  <c r="N92" i="15" s="1"/>
  <c r="N93" i="15" s="1"/>
  <c r="N94" i="15" s="1"/>
  <c r="N95" i="15" s="1"/>
  <c r="N96" i="15" s="1"/>
  <c r="N97" i="15" s="1"/>
  <c r="N98" i="15" s="1"/>
  <c r="N99" i="15" s="1"/>
  <c r="N100" i="15" s="1"/>
  <c r="N101" i="15" s="1"/>
  <c r="N102" i="15" s="1"/>
  <c r="N103" i="15" s="1"/>
  <c r="N104" i="15" s="1"/>
  <c r="N105" i="15" s="1"/>
  <c r="N106" i="15" s="1"/>
  <c r="N107" i="15" s="1"/>
  <c r="N108" i="15" s="1"/>
  <c r="N109" i="15" s="1"/>
  <c r="N110" i="15" s="1"/>
  <c r="N111" i="15" s="1"/>
  <c r="N112" i="15" s="1"/>
  <c r="N113" i="15" s="1"/>
  <c r="N114" i="15" s="1"/>
  <c r="N115" i="15" s="1"/>
  <c r="N116" i="15" s="1"/>
  <c r="N117" i="15" s="1"/>
  <c r="N118" i="15" s="1"/>
  <c r="N119" i="15" s="1"/>
  <c r="N120" i="15" s="1"/>
  <c r="N121" i="15" s="1"/>
  <c r="N122" i="15" s="1"/>
  <c r="N123" i="15" s="1"/>
  <c r="N124" i="15" s="1"/>
  <c r="N125" i="15" s="1"/>
  <c r="N126" i="15" s="1"/>
  <c r="N127" i="15" s="1"/>
  <c r="N128" i="15" s="1"/>
  <c r="N129" i="15" s="1"/>
  <c r="N130" i="15" s="1"/>
  <c r="N5" i="15"/>
  <c r="B7" i="15"/>
  <c r="B8" i="15" s="1"/>
  <c r="B9" i="15" s="1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5" i="15"/>
  <c r="B6" i="15" s="1"/>
  <c r="C10" i="17" l="1"/>
  <c r="D10" i="17"/>
  <c r="F10" i="17"/>
  <c r="E10" i="17"/>
  <c r="B11" i="17"/>
  <c r="D65" i="17"/>
  <c r="C65" i="17"/>
  <c r="F65" i="17"/>
  <c r="H65" i="17" s="1"/>
  <c r="B67" i="17"/>
  <c r="E65" i="17"/>
  <c r="G65" i="17" s="1"/>
  <c r="I64" i="17"/>
  <c r="I65" i="17"/>
  <c r="J64" i="17"/>
  <c r="J65" i="17"/>
  <c r="Q121" i="15"/>
  <c r="Q117" i="15"/>
  <c r="Q109" i="15"/>
  <c r="Q101" i="15"/>
  <c r="Q129" i="15"/>
  <c r="Q125" i="15"/>
  <c r="Q113" i="15"/>
  <c r="Q105" i="15"/>
  <c r="Q97" i="15"/>
  <c r="Q93" i="15"/>
  <c r="Q89" i="15"/>
  <c r="Q85" i="15"/>
  <c r="Q81" i="15"/>
  <c r="Q77" i="15"/>
  <c r="Q73" i="15"/>
  <c r="Q69" i="15"/>
  <c r="B37" i="15"/>
  <c r="I36" i="15"/>
  <c r="J36" i="15" s="1"/>
  <c r="K36" i="15"/>
  <c r="D11" i="17" l="1"/>
  <c r="E11" i="17"/>
  <c r="F11" i="17"/>
  <c r="B12" i="17"/>
  <c r="C11" i="17"/>
  <c r="C67" i="17"/>
  <c r="B68" i="17"/>
  <c r="E67" i="17"/>
  <c r="G67" i="17" s="1"/>
  <c r="D67" i="17"/>
  <c r="F67" i="17"/>
  <c r="H67" i="17" s="1"/>
  <c r="B38" i="15"/>
  <c r="I37" i="15"/>
  <c r="C12" i="17" l="1"/>
  <c r="E12" i="17"/>
  <c r="D12" i="17"/>
  <c r="F12" i="17"/>
  <c r="B13" i="17"/>
  <c r="F68" i="17"/>
  <c r="H68" i="17" s="1"/>
  <c r="B70" i="17"/>
  <c r="C68" i="17"/>
  <c r="D68" i="17"/>
  <c r="E68" i="17"/>
  <c r="G68" i="17" s="1"/>
  <c r="I68" i="17"/>
  <c r="I67" i="17"/>
  <c r="J67" i="17"/>
  <c r="J68" i="17"/>
  <c r="J37" i="15"/>
  <c r="K37" i="15"/>
  <c r="B39" i="15"/>
  <c r="I38" i="15"/>
  <c r="E13" i="17" l="1"/>
  <c r="C13" i="17"/>
  <c r="F13" i="17"/>
  <c r="B14" i="17"/>
  <c r="D13" i="17"/>
  <c r="F70" i="17"/>
  <c r="H70" i="17" s="1"/>
  <c r="E70" i="17"/>
  <c r="G70" i="17" s="1"/>
  <c r="B71" i="17"/>
  <c r="C70" i="17"/>
  <c r="D70" i="17"/>
  <c r="J38" i="15"/>
  <c r="K38" i="15"/>
  <c r="B40" i="15"/>
  <c r="I39" i="15"/>
  <c r="E14" i="17" l="1"/>
  <c r="F14" i="17"/>
  <c r="B15" i="17"/>
  <c r="C14" i="17"/>
  <c r="D14" i="17"/>
  <c r="J70" i="17"/>
  <c r="J71" i="17"/>
  <c r="I71" i="17"/>
  <c r="I70" i="17"/>
  <c r="E71" i="17"/>
  <c r="G71" i="17" s="1"/>
  <c r="C71" i="17"/>
  <c r="D71" i="17"/>
  <c r="B73" i="17"/>
  <c r="F71" i="17"/>
  <c r="H71" i="17" s="1"/>
  <c r="J39" i="15"/>
  <c r="K39" i="15"/>
  <c r="B41" i="15"/>
  <c r="I40" i="15"/>
  <c r="F15" i="17" l="1"/>
  <c r="E15" i="17"/>
  <c r="B16" i="17"/>
  <c r="C15" i="17"/>
  <c r="D15" i="17"/>
  <c r="D73" i="17"/>
  <c r="C73" i="17"/>
  <c r="E73" i="17"/>
  <c r="G73" i="17" s="1"/>
  <c r="F73" i="17"/>
  <c r="H73" i="17" s="1"/>
  <c r="B74" i="17"/>
  <c r="J40" i="15"/>
  <c r="K40" i="15"/>
  <c r="B42" i="15"/>
  <c r="I41" i="15"/>
  <c r="F16" i="17" l="1"/>
  <c r="D16" i="17"/>
  <c r="B17" i="17"/>
  <c r="C16" i="17"/>
  <c r="E16" i="17"/>
  <c r="I73" i="17"/>
  <c r="I74" i="17"/>
  <c r="C74" i="17"/>
  <c r="B76" i="17"/>
  <c r="E74" i="17"/>
  <c r="G74" i="17" s="1"/>
  <c r="F74" i="17"/>
  <c r="H74" i="17" s="1"/>
  <c r="D74" i="17"/>
  <c r="J74" i="17"/>
  <c r="J73" i="17"/>
  <c r="J41" i="15"/>
  <c r="K41" i="15"/>
  <c r="B43" i="15"/>
  <c r="I42" i="15"/>
  <c r="D17" i="17" l="1"/>
  <c r="E17" i="17"/>
  <c r="C17" i="17"/>
  <c r="F17" i="17"/>
  <c r="B18" i="17"/>
  <c r="F76" i="17"/>
  <c r="H76" i="17" s="1"/>
  <c r="C76" i="17"/>
  <c r="E76" i="17"/>
  <c r="G76" i="17" s="1"/>
  <c r="D76" i="17"/>
  <c r="B77" i="17"/>
  <c r="J42" i="15"/>
  <c r="K42" i="15"/>
  <c r="B44" i="15"/>
  <c r="I43" i="15"/>
  <c r="C18" i="17" l="1"/>
  <c r="F18" i="17"/>
  <c r="B19" i="17"/>
  <c r="D18" i="17"/>
  <c r="E18" i="17"/>
  <c r="J76" i="17"/>
  <c r="J77" i="17"/>
  <c r="I77" i="17"/>
  <c r="I76" i="17"/>
  <c r="E77" i="17"/>
  <c r="G77" i="17" s="1"/>
  <c r="C77" i="17"/>
  <c r="D77" i="17"/>
  <c r="F77" i="17"/>
  <c r="H77" i="17" s="1"/>
  <c r="B79" i="17"/>
  <c r="J43" i="15"/>
  <c r="K43" i="15"/>
  <c r="B45" i="15"/>
  <c r="I44" i="15"/>
  <c r="F19" i="17" l="1"/>
  <c r="B20" i="17"/>
  <c r="E19" i="17"/>
  <c r="C19" i="17"/>
  <c r="D19" i="17"/>
  <c r="D79" i="17"/>
  <c r="E79" i="17"/>
  <c r="G79" i="17" s="1"/>
  <c r="F79" i="17"/>
  <c r="H79" i="17" s="1"/>
  <c r="B80" i="17"/>
  <c r="C79" i="17"/>
  <c r="J44" i="15"/>
  <c r="K44" i="15"/>
  <c r="B46" i="15"/>
  <c r="I45" i="15"/>
  <c r="C20" i="17" l="1"/>
  <c r="D20" i="17"/>
  <c r="B21" i="17"/>
  <c r="E20" i="17"/>
  <c r="F20" i="17"/>
  <c r="C80" i="17"/>
  <c r="B82" i="17"/>
  <c r="F80" i="17"/>
  <c r="H80" i="17" s="1"/>
  <c r="E80" i="17"/>
  <c r="G80" i="17" s="1"/>
  <c r="D80" i="17"/>
  <c r="I80" i="17"/>
  <c r="I79" i="17"/>
  <c r="J79" i="17"/>
  <c r="J80" i="17"/>
  <c r="J45" i="15"/>
  <c r="K45" i="15"/>
  <c r="B47" i="15"/>
  <c r="I46" i="15"/>
  <c r="E21" i="17" l="1"/>
  <c r="F21" i="17"/>
  <c r="C21" i="17"/>
  <c r="D21" i="17"/>
  <c r="B22" i="17"/>
  <c r="F82" i="17"/>
  <c r="H82" i="17" s="1"/>
  <c r="C82" i="17"/>
  <c r="D82" i="17"/>
  <c r="B83" i="17"/>
  <c r="E82" i="17"/>
  <c r="G82" i="17" s="1"/>
  <c r="J46" i="15"/>
  <c r="K46" i="15"/>
  <c r="B48" i="15"/>
  <c r="I47" i="15"/>
  <c r="B23" i="17" l="1"/>
  <c r="C22" i="17"/>
  <c r="F22" i="17"/>
  <c r="D22" i="17"/>
  <c r="E22" i="17"/>
  <c r="J82" i="17"/>
  <c r="J83" i="17"/>
  <c r="I83" i="17"/>
  <c r="I82" i="17"/>
  <c r="E83" i="17"/>
  <c r="G83" i="17" s="1"/>
  <c r="D83" i="17"/>
  <c r="F83" i="17"/>
  <c r="H83" i="17" s="1"/>
  <c r="B85" i="17"/>
  <c r="C83" i="17"/>
  <c r="J47" i="15"/>
  <c r="K47" i="15"/>
  <c r="B49" i="15"/>
  <c r="I48" i="15"/>
  <c r="C23" i="17" l="1"/>
  <c r="E23" i="17"/>
  <c r="D23" i="17"/>
  <c r="F23" i="17"/>
  <c r="B24" i="17"/>
  <c r="D85" i="17"/>
  <c r="F85" i="17"/>
  <c r="H85" i="17" s="1"/>
  <c r="B86" i="17"/>
  <c r="C85" i="17"/>
  <c r="E85" i="17"/>
  <c r="G85" i="17" s="1"/>
  <c r="B50" i="15"/>
  <c r="I49" i="15"/>
  <c r="J48" i="15"/>
  <c r="K48" i="15"/>
  <c r="C24" i="17" l="1"/>
  <c r="D24" i="17"/>
  <c r="E24" i="17"/>
  <c r="F24" i="17"/>
  <c r="B25" i="17"/>
  <c r="C86" i="17"/>
  <c r="B88" i="17"/>
  <c r="D86" i="17"/>
  <c r="F86" i="17"/>
  <c r="H86" i="17" s="1"/>
  <c r="E86" i="17"/>
  <c r="G86" i="17" s="1"/>
  <c r="J86" i="17"/>
  <c r="J85" i="17"/>
  <c r="I86" i="17"/>
  <c r="I85" i="17"/>
  <c r="J49" i="15"/>
  <c r="K49" i="15"/>
  <c r="B51" i="15"/>
  <c r="I50" i="15"/>
  <c r="D25" i="17" l="1"/>
  <c r="C25" i="17"/>
  <c r="E25" i="17"/>
  <c r="B26" i="17"/>
  <c r="F25" i="17"/>
  <c r="F88" i="17"/>
  <c r="H88" i="17" s="1"/>
  <c r="D88" i="17"/>
  <c r="E88" i="17"/>
  <c r="G88" i="17" s="1"/>
  <c r="B89" i="17"/>
  <c r="C88" i="17"/>
  <c r="J50" i="15"/>
  <c r="K50" i="15"/>
  <c r="B52" i="15"/>
  <c r="I51" i="15"/>
  <c r="F26" i="17" l="1"/>
  <c r="E26" i="17"/>
  <c r="B27" i="17"/>
  <c r="D26" i="17"/>
  <c r="C26" i="17"/>
  <c r="E89" i="17"/>
  <c r="G89" i="17" s="1"/>
  <c r="F89" i="17"/>
  <c r="H89" i="17" s="1"/>
  <c r="B91" i="17"/>
  <c r="C89" i="17"/>
  <c r="D89" i="17"/>
  <c r="J88" i="17"/>
  <c r="J89" i="17"/>
  <c r="I89" i="17"/>
  <c r="I88" i="17"/>
  <c r="J51" i="15"/>
  <c r="K51" i="15"/>
  <c r="B53" i="15"/>
  <c r="I52" i="15"/>
  <c r="C27" i="17" l="1"/>
  <c r="D27" i="17"/>
  <c r="E27" i="17"/>
  <c r="F27" i="17"/>
  <c r="B28" i="17"/>
  <c r="D91" i="17"/>
  <c r="C91" i="17"/>
  <c r="E91" i="17"/>
  <c r="G91" i="17" s="1"/>
  <c r="F91" i="17"/>
  <c r="H91" i="17" s="1"/>
  <c r="B92" i="17"/>
  <c r="J52" i="15"/>
  <c r="K52" i="15"/>
  <c r="B54" i="15"/>
  <c r="I53" i="15"/>
  <c r="C28" i="17" l="1"/>
  <c r="E28" i="17"/>
  <c r="D28" i="17"/>
  <c r="F28" i="17"/>
  <c r="B29" i="17"/>
  <c r="I92" i="17"/>
  <c r="I91" i="17"/>
  <c r="C92" i="17"/>
  <c r="B94" i="17"/>
  <c r="D92" i="17"/>
  <c r="E92" i="17"/>
  <c r="G92" i="17" s="1"/>
  <c r="F92" i="17"/>
  <c r="H92" i="17" s="1"/>
  <c r="J92" i="17"/>
  <c r="J91" i="17"/>
  <c r="J53" i="15"/>
  <c r="K53" i="15"/>
  <c r="B55" i="15"/>
  <c r="I54" i="15"/>
  <c r="E29" i="17" l="1"/>
  <c r="C29" i="17"/>
  <c r="F29" i="17"/>
  <c r="B30" i="17"/>
  <c r="D29" i="17"/>
  <c r="F94" i="17"/>
  <c r="H94" i="17" s="1"/>
  <c r="E94" i="17"/>
  <c r="G94" i="17" s="1"/>
  <c r="B95" i="17"/>
  <c r="C94" i="17"/>
  <c r="D94" i="17"/>
  <c r="J54" i="15"/>
  <c r="K54" i="15"/>
  <c r="B56" i="15"/>
  <c r="I55" i="15"/>
  <c r="D30" i="17" l="1"/>
  <c r="E30" i="17"/>
  <c r="F30" i="17"/>
  <c r="B31" i="17"/>
  <c r="C30" i="17"/>
  <c r="I95" i="17"/>
  <c r="I94" i="17"/>
  <c r="E95" i="17"/>
  <c r="G95" i="17" s="1"/>
  <c r="C95" i="17"/>
  <c r="D95" i="17"/>
  <c r="F95" i="17"/>
  <c r="H95" i="17" s="1"/>
  <c r="B97" i="17"/>
  <c r="J94" i="17"/>
  <c r="J95" i="17"/>
  <c r="J55" i="15"/>
  <c r="K55" i="15"/>
  <c r="B57" i="15"/>
  <c r="I56" i="15"/>
  <c r="D31" i="17" l="1"/>
  <c r="F31" i="17"/>
  <c r="E31" i="17"/>
  <c r="B32" i="17"/>
  <c r="C31" i="17"/>
  <c r="D97" i="17"/>
  <c r="C97" i="17"/>
  <c r="E97" i="17"/>
  <c r="G97" i="17" s="1"/>
  <c r="F97" i="17"/>
  <c r="H97" i="17" s="1"/>
  <c r="B98" i="17"/>
  <c r="J56" i="15"/>
  <c r="K56" i="15"/>
  <c r="B58" i="15"/>
  <c r="I57" i="15"/>
  <c r="D32" i="17" l="1"/>
  <c r="B33" i="17"/>
  <c r="C32" i="17"/>
  <c r="E32" i="17"/>
  <c r="F32" i="17"/>
  <c r="I97" i="17"/>
  <c r="I98" i="17"/>
  <c r="C98" i="17"/>
  <c r="B100" i="17"/>
  <c r="E98" i="17"/>
  <c r="G98" i="17" s="1"/>
  <c r="F98" i="17"/>
  <c r="H98" i="17" s="1"/>
  <c r="D98" i="17"/>
  <c r="J98" i="17"/>
  <c r="J97" i="17"/>
  <c r="J57" i="15"/>
  <c r="K57" i="15"/>
  <c r="B59" i="15"/>
  <c r="I58" i="15"/>
  <c r="E33" i="17" l="1"/>
  <c r="C33" i="17"/>
  <c r="F33" i="17"/>
  <c r="B34" i="17"/>
  <c r="D33" i="17"/>
  <c r="F100" i="17"/>
  <c r="H100" i="17" s="1"/>
  <c r="C100" i="17"/>
  <c r="E100" i="17"/>
  <c r="G100" i="17" s="1"/>
  <c r="D100" i="17"/>
  <c r="B101" i="17"/>
  <c r="J58" i="15"/>
  <c r="K58" i="15"/>
  <c r="B60" i="15"/>
  <c r="I59" i="15"/>
  <c r="E34" i="17" l="1"/>
  <c r="B35" i="17"/>
  <c r="F34" i="17"/>
  <c r="C34" i="17"/>
  <c r="D34" i="17"/>
  <c r="J100" i="17"/>
  <c r="J101" i="17"/>
  <c r="I101" i="17"/>
  <c r="I100" i="17"/>
  <c r="E101" i="17"/>
  <c r="G101" i="17" s="1"/>
  <c r="C101" i="17"/>
  <c r="D101" i="17"/>
  <c r="B103" i="17"/>
  <c r="F101" i="17"/>
  <c r="H101" i="17" s="1"/>
  <c r="J59" i="15"/>
  <c r="K59" i="15"/>
  <c r="B61" i="15"/>
  <c r="I60" i="15"/>
  <c r="F35" i="17" l="1"/>
  <c r="C35" i="17"/>
  <c r="E35" i="17"/>
  <c r="B36" i="17"/>
  <c r="D35" i="17"/>
  <c r="D103" i="17"/>
  <c r="E103" i="17"/>
  <c r="G103" i="17" s="1"/>
  <c r="F103" i="17"/>
  <c r="H103" i="17" s="1"/>
  <c r="B104" i="17"/>
  <c r="C103" i="17"/>
  <c r="J60" i="15"/>
  <c r="K60" i="15"/>
  <c r="B62" i="15"/>
  <c r="I61" i="15"/>
  <c r="E36" i="17" l="1"/>
  <c r="F36" i="17"/>
  <c r="B37" i="17"/>
  <c r="D36" i="17"/>
  <c r="C36" i="17"/>
  <c r="I103" i="17"/>
  <c r="I104" i="17"/>
  <c r="J103" i="17"/>
  <c r="J104" i="17"/>
  <c r="C104" i="17"/>
  <c r="B106" i="17"/>
  <c r="F104" i="17"/>
  <c r="H104" i="17" s="1"/>
  <c r="D104" i="17"/>
  <c r="E104" i="17"/>
  <c r="G104" i="17" s="1"/>
  <c r="J61" i="15"/>
  <c r="K61" i="15"/>
  <c r="B63" i="15"/>
  <c r="I62" i="15"/>
  <c r="F37" i="17" l="1"/>
  <c r="C37" i="17"/>
  <c r="D37" i="17"/>
  <c r="B38" i="17"/>
  <c r="E37" i="17"/>
  <c r="F106" i="17"/>
  <c r="H106" i="17" s="1"/>
  <c r="C106" i="17"/>
  <c r="D106" i="17"/>
  <c r="E106" i="17"/>
  <c r="G106" i="17" s="1"/>
  <c r="B107" i="17"/>
  <c r="J62" i="15"/>
  <c r="K62" i="15"/>
  <c r="B64" i="15"/>
  <c r="I63" i="15"/>
  <c r="C38" i="17" l="1"/>
  <c r="E38" i="17"/>
  <c r="F38" i="17"/>
  <c r="D38" i="17"/>
  <c r="B39" i="17"/>
  <c r="J106" i="17"/>
  <c r="J107" i="17"/>
  <c r="I107" i="17"/>
  <c r="I106" i="17"/>
  <c r="E107" i="17"/>
  <c r="G107" i="17" s="1"/>
  <c r="D107" i="17"/>
  <c r="F107" i="17"/>
  <c r="H107" i="17" s="1"/>
  <c r="B109" i="17"/>
  <c r="C107" i="17"/>
  <c r="J63" i="15"/>
  <c r="K63" i="15"/>
  <c r="B65" i="15"/>
  <c r="I64" i="15"/>
  <c r="B40" i="17" l="1"/>
  <c r="D39" i="17"/>
  <c r="C39" i="17"/>
  <c r="E39" i="17"/>
  <c r="F39" i="17"/>
  <c r="D109" i="17"/>
  <c r="F109" i="17"/>
  <c r="H109" i="17" s="1"/>
  <c r="B110" i="17"/>
  <c r="C109" i="17"/>
  <c r="E109" i="17"/>
  <c r="G109" i="17" s="1"/>
  <c r="J64" i="15"/>
  <c r="K64" i="15"/>
  <c r="B66" i="15"/>
  <c r="I65" i="15"/>
  <c r="C40" i="17" l="1"/>
  <c r="D40" i="17"/>
  <c r="E40" i="17"/>
  <c r="F40" i="17"/>
  <c r="B41" i="17"/>
  <c r="C110" i="17"/>
  <c r="B112" i="17"/>
  <c r="D110" i="17"/>
  <c r="E110" i="17"/>
  <c r="G110" i="17" s="1"/>
  <c r="F110" i="17"/>
  <c r="H110" i="17" s="1"/>
  <c r="J109" i="17"/>
  <c r="J110" i="17"/>
  <c r="I110" i="17"/>
  <c r="I109" i="17"/>
  <c r="J65" i="15"/>
  <c r="K65" i="15"/>
  <c r="B67" i="15"/>
  <c r="B68" i="15" s="1"/>
  <c r="B69" i="15" s="1"/>
  <c r="B70" i="15" s="1"/>
  <c r="B71" i="15" s="1"/>
  <c r="B72" i="15" s="1"/>
  <c r="B73" i="15" s="1"/>
  <c r="B74" i="15" s="1"/>
  <c r="B75" i="15" s="1"/>
  <c r="B76" i="15" s="1"/>
  <c r="B77" i="15" s="1"/>
  <c r="B78" i="15" s="1"/>
  <c r="B79" i="15" s="1"/>
  <c r="B80" i="15" s="1"/>
  <c r="B81" i="15" s="1"/>
  <c r="B82" i="15" s="1"/>
  <c r="B83" i="15" s="1"/>
  <c r="B84" i="15" s="1"/>
  <c r="B85" i="15" s="1"/>
  <c r="B86" i="15" s="1"/>
  <c r="B87" i="15" s="1"/>
  <c r="B88" i="15" s="1"/>
  <c r="B89" i="15" s="1"/>
  <c r="B90" i="15" s="1"/>
  <c r="B91" i="15" s="1"/>
  <c r="B92" i="15" s="1"/>
  <c r="B93" i="15" s="1"/>
  <c r="B94" i="15" s="1"/>
  <c r="B95" i="15" s="1"/>
  <c r="B96" i="15" s="1"/>
  <c r="B97" i="15" s="1"/>
  <c r="B98" i="15" s="1"/>
  <c r="B99" i="15" s="1"/>
  <c r="B100" i="15" s="1"/>
  <c r="B101" i="15" s="1"/>
  <c r="B102" i="15" s="1"/>
  <c r="B103" i="15" s="1"/>
  <c r="B104" i="15" s="1"/>
  <c r="B105" i="15" s="1"/>
  <c r="B106" i="15" s="1"/>
  <c r="B107" i="15" s="1"/>
  <c r="B108" i="15" s="1"/>
  <c r="B109" i="15" s="1"/>
  <c r="B110" i="15" s="1"/>
  <c r="B111" i="15" s="1"/>
  <c r="B112" i="15" s="1"/>
  <c r="B113" i="15" s="1"/>
  <c r="B114" i="15" s="1"/>
  <c r="B115" i="15" s="1"/>
  <c r="B116" i="15" s="1"/>
  <c r="B117" i="15" s="1"/>
  <c r="B118" i="15" s="1"/>
  <c r="B119" i="15" s="1"/>
  <c r="B120" i="15" s="1"/>
  <c r="I66" i="15"/>
  <c r="D41" i="17" l="1"/>
  <c r="E41" i="17"/>
  <c r="C41" i="17"/>
  <c r="B42" i="17"/>
  <c r="F41" i="17"/>
  <c r="F112" i="17"/>
  <c r="H112" i="17" s="1"/>
  <c r="D112" i="17"/>
  <c r="E112" i="17"/>
  <c r="G112" i="17" s="1"/>
  <c r="B113" i="17"/>
  <c r="C112" i="17"/>
  <c r="J66" i="15"/>
  <c r="K66" i="15"/>
  <c r="B121" i="15"/>
  <c r="C120" i="15"/>
  <c r="F42" i="17" l="1"/>
  <c r="E42" i="17"/>
  <c r="B43" i="17"/>
  <c r="C42" i="17"/>
  <c r="D42" i="17"/>
  <c r="E113" i="17"/>
  <c r="G113" i="17" s="1"/>
  <c r="F113" i="17"/>
  <c r="H113" i="17" s="1"/>
  <c r="B115" i="17"/>
  <c r="C113" i="17"/>
  <c r="D113" i="17"/>
  <c r="J112" i="17"/>
  <c r="J113" i="17"/>
  <c r="I113" i="17"/>
  <c r="I112" i="17"/>
  <c r="D120" i="15"/>
  <c r="E120" i="15"/>
  <c r="B122" i="15"/>
  <c r="C121" i="15"/>
  <c r="C43" i="17" l="1"/>
  <c r="D43" i="17"/>
  <c r="F43" i="17"/>
  <c r="E43" i="17"/>
  <c r="B44" i="17"/>
  <c r="D115" i="17"/>
  <c r="C115" i="17"/>
  <c r="E115" i="17"/>
  <c r="G115" i="17" s="1"/>
  <c r="B116" i="17"/>
  <c r="F115" i="17"/>
  <c r="H115" i="17" s="1"/>
  <c r="E121" i="15"/>
  <c r="D121" i="15"/>
  <c r="B123" i="15"/>
  <c r="C122" i="15"/>
  <c r="C44" i="17" l="1"/>
  <c r="D44" i="17"/>
  <c r="F44" i="17"/>
  <c r="E44" i="17"/>
  <c r="B45" i="17"/>
  <c r="I116" i="17"/>
  <c r="I115" i="17"/>
  <c r="J116" i="17"/>
  <c r="J115" i="17"/>
  <c r="C116" i="17"/>
  <c r="B118" i="17"/>
  <c r="D116" i="17"/>
  <c r="E116" i="17"/>
  <c r="G116" i="17" s="1"/>
  <c r="F116" i="17"/>
  <c r="H116" i="17" s="1"/>
  <c r="E122" i="15"/>
  <c r="D122" i="15"/>
  <c r="B124" i="15"/>
  <c r="C123" i="15"/>
  <c r="E45" i="17" l="1"/>
  <c r="C45" i="17"/>
  <c r="F45" i="17"/>
  <c r="B46" i="17"/>
  <c r="D45" i="17"/>
  <c r="F118" i="17"/>
  <c r="H118" i="17" s="1"/>
  <c r="E118" i="17"/>
  <c r="G118" i="17" s="1"/>
  <c r="C118" i="17"/>
  <c r="I118" i="17" s="1"/>
  <c r="D118" i="17"/>
  <c r="D123" i="15"/>
  <c r="E123" i="15"/>
  <c r="B125" i="15"/>
  <c r="C124" i="15"/>
  <c r="E46" i="17" l="1"/>
  <c r="C46" i="17"/>
  <c r="F46" i="17"/>
  <c r="D46" i="17"/>
  <c r="J118" i="17"/>
  <c r="D124" i="15"/>
  <c r="E124" i="15"/>
  <c r="B126" i="15"/>
  <c r="C125" i="15"/>
  <c r="D125" i="15" l="1"/>
  <c r="E125" i="15"/>
  <c r="B127" i="15"/>
  <c r="C126" i="15"/>
  <c r="E126" i="15" l="1"/>
  <c r="D126" i="15"/>
  <c r="B128" i="15"/>
  <c r="C127" i="15"/>
  <c r="E127" i="15" l="1"/>
  <c r="D127" i="15"/>
  <c r="B129" i="15"/>
  <c r="C128" i="15"/>
  <c r="D128" i="15" l="1"/>
  <c r="E128" i="15"/>
  <c r="B130" i="15"/>
  <c r="C130" i="15" s="1"/>
  <c r="C129" i="15"/>
  <c r="D129" i="15" l="1"/>
  <c r="E129" i="15"/>
  <c r="E130" i="15"/>
  <c r="D130" i="15"/>
  <c r="I149" i="10" l="1"/>
  <c r="I146" i="10"/>
  <c r="I143" i="10"/>
  <c r="I140" i="10"/>
  <c r="I137" i="10"/>
  <c r="I134" i="10"/>
  <c r="I131" i="10"/>
  <c r="I128" i="10"/>
  <c r="I125" i="10"/>
  <c r="I122" i="10"/>
  <c r="I119" i="10"/>
  <c r="I12" i="10"/>
  <c r="I116" i="10"/>
  <c r="J114" i="10"/>
  <c r="I113" i="10"/>
  <c r="I14" i="10"/>
  <c r="I32" i="10" l="1"/>
  <c r="I30" i="10"/>
  <c r="I28" i="10"/>
  <c r="I26" i="10"/>
  <c r="I24" i="10"/>
  <c r="I22" i="10"/>
  <c r="I20" i="10"/>
  <c r="I18" i="10"/>
  <c r="I16" i="10"/>
  <c r="I10" i="10"/>
  <c r="J9" i="10"/>
  <c r="I8" i="10"/>
  <c r="I6" i="10"/>
  <c r="J5" i="10"/>
  <c r="D37" i="5" l="1"/>
  <c r="E105" i="14" l="1"/>
  <c r="L105" i="14"/>
  <c r="M105" i="14"/>
  <c r="N105" i="14"/>
  <c r="A106" i="14"/>
  <c r="B106" i="14"/>
  <c r="B107" i="14" s="1"/>
  <c r="L106" i="14"/>
  <c r="M106" i="14"/>
  <c r="E107" i="14"/>
  <c r="A108" i="14"/>
  <c r="E109" i="14"/>
  <c r="L109" i="14" s="1"/>
  <c r="L110" i="14"/>
  <c r="M110" i="14"/>
  <c r="E111" i="14"/>
  <c r="A112" i="14"/>
  <c r="E113" i="14"/>
  <c r="M113" i="14" s="1"/>
  <c r="A114" i="14"/>
  <c r="L114" i="14"/>
  <c r="M114" i="14"/>
  <c r="E115" i="14"/>
  <c r="A116" i="14"/>
  <c r="E117" i="14"/>
  <c r="M117" i="14" s="1"/>
  <c r="L117" i="14"/>
  <c r="A118" i="14"/>
  <c r="L118" i="14"/>
  <c r="M118" i="14"/>
  <c r="E119" i="14"/>
  <c r="A120" i="14"/>
  <c r="E121" i="14"/>
  <c r="M121" i="14" s="1"/>
  <c r="L121" i="14"/>
  <c r="A122" i="14"/>
  <c r="L122" i="14"/>
  <c r="M122" i="14"/>
  <c r="E123" i="14"/>
  <c r="A124" i="14"/>
  <c r="E125" i="14"/>
  <c r="M125" i="14" s="1"/>
  <c r="A126" i="14"/>
  <c r="L126" i="14"/>
  <c r="M126" i="14"/>
  <c r="E127" i="14"/>
  <c r="A128" i="14"/>
  <c r="E129" i="14"/>
  <c r="M129" i="14" s="1"/>
  <c r="A130" i="14"/>
  <c r="L130" i="14"/>
  <c r="M130" i="14"/>
  <c r="L125" i="14" l="1"/>
  <c r="L129" i="14"/>
  <c r="L113" i="14"/>
  <c r="B108" i="14"/>
  <c r="B109" i="14" s="1"/>
  <c r="N107" i="14"/>
  <c r="O107" i="14" s="1"/>
  <c r="M109" i="14"/>
  <c r="Q27" i="14"/>
  <c r="R27" i="14"/>
  <c r="W27" i="14" s="1"/>
  <c r="S27" i="14"/>
  <c r="X27" i="14" s="1"/>
  <c r="V27" i="14"/>
  <c r="Q28" i="14"/>
  <c r="R28" i="14"/>
  <c r="W28" i="14" s="1"/>
  <c r="S28" i="14"/>
  <c r="X28" i="14" s="1"/>
  <c r="V28" i="14"/>
  <c r="R29" i="14"/>
  <c r="W29" i="14" s="1"/>
  <c r="S29" i="14"/>
  <c r="X29" i="14" s="1"/>
  <c r="V29" i="14"/>
  <c r="R30" i="14"/>
  <c r="W30" i="14" s="1"/>
  <c r="S30" i="14"/>
  <c r="V30" i="14"/>
  <c r="Q31" i="14"/>
  <c r="Q32" i="14" s="1"/>
  <c r="R31" i="14"/>
  <c r="W31" i="14" s="1"/>
  <c r="S31" i="14"/>
  <c r="X31" i="14" s="1"/>
  <c r="V31" i="14"/>
  <c r="R32" i="14"/>
  <c r="W32" i="14" s="1"/>
  <c r="S32" i="14"/>
  <c r="X32" i="14" s="1"/>
  <c r="V32" i="14"/>
  <c r="R33" i="14"/>
  <c r="W33" i="14" s="1"/>
  <c r="S33" i="14"/>
  <c r="X33" i="14" s="1"/>
  <c r="V33" i="14"/>
  <c r="R34" i="14"/>
  <c r="W34" i="14" s="1"/>
  <c r="S34" i="14"/>
  <c r="X34" i="14" s="1"/>
  <c r="V34" i="14"/>
  <c r="R35" i="14"/>
  <c r="W35" i="14" s="1"/>
  <c r="S35" i="14"/>
  <c r="X35" i="14" s="1"/>
  <c r="V35" i="14"/>
  <c r="Q36" i="14"/>
  <c r="R36" i="14"/>
  <c r="W36" i="14" s="1"/>
  <c r="S36" i="14"/>
  <c r="X36" i="14" s="1"/>
  <c r="V36" i="14"/>
  <c r="R37" i="14"/>
  <c r="W37" i="14" s="1"/>
  <c r="S37" i="14"/>
  <c r="X37" i="14" s="1"/>
  <c r="V37" i="14"/>
  <c r="Q38" i="14"/>
  <c r="Q39" i="14" s="1"/>
  <c r="R38" i="14"/>
  <c r="W38" i="14" s="1"/>
  <c r="S38" i="14"/>
  <c r="V38" i="14"/>
  <c r="R39" i="14"/>
  <c r="W39" i="14" s="1"/>
  <c r="S39" i="14"/>
  <c r="X39" i="14" s="1"/>
  <c r="V39" i="14"/>
  <c r="B110" i="14" l="1"/>
  <c r="B111" i="14" s="1"/>
  <c r="N109" i="14"/>
  <c r="O109" i="14" s="1"/>
  <c r="T39" i="14"/>
  <c r="T38" i="14"/>
  <c r="T30" i="14"/>
  <c r="U30" i="14"/>
  <c r="U33" i="14"/>
  <c r="T31" i="14"/>
  <c r="X30" i="14"/>
  <c r="U38" i="14"/>
  <c r="T33" i="14"/>
  <c r="T32" i="14"/>
  <c r="T29" i="14"/>
  <c r="X38" i="14"/>
  <c r="T37" i="14"/>
  <c r="U39" i="14"/>
  <c r="T36" i="14"/>
  <c r="T34" i="14"/>
  <c r="U31" i="14"/>
  <c r="U37" i="14"/>
  <c r="T35" i="14"/>
  <c r="U32" i="14"/>
  <c r="T28" i="14"/>
  <c r="T27" i="14"/>
  <c r="U34" i="14"/>
  <c r="U28" i="14"/>
  <c r="U27" i="14"/>
  <c r="U36" i="14"/>
  <c r="U35" i="14"/>
  <c r="U29" i="14"/>
  <c r="B112" i="14" l="1"/>
  <c r="B113" i="14" s="1"/>
  <c r="N111" i="14"/>
  <c r="O111" i="14" s="1"/>
  <c r="B114" i="14" l="1"/>
  <c r="B115" i="14" s="1"/>
  <c r="N113" i="14"/>
  <c r="O113" i="14" s="1"/>
  <c r="C108" i="10"/>
  <c r="S108" i="10" s="1"/>
  <c r="J108" i="10"/>
  <c r="L108" i="10"/>
  <c r="M108" i="10" s="1"/>
  <c r="V108" i="10"/>
  <c r="C110" i="10"/>
  <c r="S110" i="10" s="1"/>
  <c r="D110" i="10"/>
  <c r="D113" i="10" s="1"/>
  <c r="D116" i="10" s="1"/>
  <c r="D119" i="10" s="1"/>
  <c r="D122" i="10" s="1"/>
  <c r="D125" i="10" s="1"/>
  <c r="D128" i="10" s="1"/>
  <c r="D131" i="10" s="1"/>
  <c r="D134" i="10" s="1"/>
  <c r="D137" i="10" s="1"/>
  <c r="D140" i="10" s="1"/>
  <c r="D143" i="10" s="1"/>
  <c r="D146" i="10" s="1"/>
  <c r="I110" i="10"/>
  <c r="L110" i="10"/>
  <c r="N110" i="10" s="1"/>
  <c r="W110" i="10"/>
  <c r="C111" i="10"/>
  <c r="J111" i="10"/>
  <c r="L111" i="10"/>
  <c r="N111" i="10" s="1"/>
  <c r="R110" i="10" s="1"/>
  <c r="V111" i="10"/>
  <c r="C113" i="10"/>
  <c r="S113" i="10" s="1"/>
  <c r="L113" i="10"/>
  <c r="N113" i="10" s="1"/>
  <c r="W113" i="10"/>
  <c r="C114" i="10"/>
  <c r="L114" i="10"/>
  <c r="M114" i="10" s="1"/>
  <c r="Q113" i="10" s="1"/>
  <c r="V114" i="10"/>
  <c r="Y114" i="10" s="1"/>
  <c r="X114" i="10"/>
  <c r="C116" i="10"/>
  <c r="S116" i="10" s="1"/>
  <c r="L116" i="10"/>
  <c r="N116" i="10" s="1"/>
  <c r="W116" i="10"/>
  <c r="C117" i="10"/>
  <c r="J117" i="10"/>
  <c r="L117" i="10"/>
  <c r="M117" i="10" s="1"/>
  <c r="V117" i="10"/>
  <c r="C119" i="10"/>
  <c r="S119" i="10" s="1"/>
  <c r="L119" i="10"/>
  <c r="N119" i="10" s="1"/>
  <c r="M119" i="10"/>
  <c r="T120" i="10" s="1"/>
  <c r="W119" i="10"/>
  <c r="C120" i="10"/>
  <c r="J120" i="10"/>
  <c r="L120" i="10"/>
  <c r="M120" i="10" s="1"/>
  <c r="V120" i="10"/>
  <c r="C122" i="10"/>
  <c r="S122" i="10" s="1"/>
  <c r="L122" i="10"/>
  <c r="N122" i="10" s="1"/>
  <c r="W122" i="10"/>
  <c r="C123" i="10"/>
  <c r="J123" i="10"/>
  <c r="L123" i="10"/>
  <c r="N123" i="10" s="1"/>
  <c r="V123" i="10"/>
  <c r="C125" i="10"/>
  <c r="S125" i="10" s="1"/>
  <c r="L125" i="10"/>
  <c r="M125" i="10" s="1"/>
  <c r="W125" i="10"/>
  <c r="C126" i="10"/>
  <c r="J126" i="10"/>
  <c r="L126" i="10"/>
  <c r="M126" i="10" s="1"/>
  <c r="Q125" i="10" s="1"/>
  <c r="V126" i="10"/>
  <c r="C128" i="10"/>
  <c r="S128" i="10" s="1"/>
  <c r="L128" i="10"/>
  <c r="M128" i="10" s="1"/>
  <c r="W128" i="10"/>
  <c r="C129" i="10"/>
  <c r="J129" i="10"/>
  <c r="L129" i="10"/>
  <c r="N129" i="10" s="1"/>
  <c r="V129" i="10"/>
  <c r="Y129" i="10" s="1"/>
  <c r="X129" i="10"/>
  <c r="C131" i="10"/>
  <c r="S131" i="10" s="1"/>
  <c r="L131" i="10"/>
  <c r="M131" i="10" s="1"/>
  <c r="W131" i="10"/>
  <c r="C132" i="10"/>
  <c r="J132" i="10"/>
  <c r="L132" i="10"/>
  <c r="M132" i="10" s="1"/>
  <c r="Q131" i="10" s="1"/>
  <c r="V132" i="10"/>
  <c r="C134" i="10"/>
  <c r="S134" i="10" s="1"/>
  <c r="L134" i="10"/>
  <c r="M134" i="10" s="1"/>
  <c r="W134" i="10"/>
  <c r="Y134" i="10" s="1"/>
  <c r="X134" i="10"/>
  <c r="C135" i="10"/>
  <c r="J135" i="10"/>
  <c r="L135" i="10"/>
  <c r="N135" i="10" s="1"/>
  <c r="M135" i="10"/>
  <c r="Q134" i="10" s="1"/>
  <c r="V135" i="10"/>
  <c r="C137" i="10"/>
  <c r="S137" i="10" s="1"/>
  <c r="L137" i="10"/>
  <c r="M137" i="10" s="1"/>
  <c r="W137" i="10"/>
  <c r="X137" i="10" s="1"/>
  <c r="C138" i="10"/>
  <c r="J138" i="10"/>
  <c r="L138" i="10"/>
  <c r="N138" i="10" s="1"/>
  <c r="R137" i="10" s="1"/>
  <c r="V138" i="10"/>
  <c r="X138" i="10" s="1"/>
  <c r="C140" i="10"/>
  <c r="S140" i="10" s="1"/>
  <c r="L140" i="10"/>
  <c r="W140" i="10"/>
  <c r="X140" i="10" s="1"/>
  <c r="C141" i="10"/>
  <c r="J141" i="10"/>
  <c r="L141" i="10"/>
  <c r="N141" i="10" s="1"/>
  <c r="R140" i="10" s="1"/>
  <c r="V141" i="10"/>
  <c r="X141" i="10" s="1"/>
  <c r="C143" i="10"/>
  <c r="S143" i="10" s="1"/>
  <c r="L143" i="10"/>
  <c r="N143" i="10" s="1"/>
  <c r="W143" i="10"/>
  <c r="X143" i="10" s="1"/>
  <c r="C144" i="10"/>
  <c r="J144" i="10"/>
  <c r="L144" i="10"/>
  <c r="M144" i="10" s="1"/>
  <c r="Q143" i="10" s="1"/>
  <c r="V144" i="10"/>
  <c r="X144" i="10" s="1"/>
  <c r="C146" i="10"/>
  <c r="L146" i="10"/>
  <c r="N146" i="10" s="1"/>
  <c r="W146" i="10"/>
  <c r="X146" i="10" s="1"/>
  <c r="C147" i="10"/>
  <c r="J147" i="10"/>
  <c r="L147" i="10"/>
  <c r="N147" i="10" s="1"/>
  <c r="R146" i="10" s="1"/>
  <c r="V147" i="10"/>
  <c r="X147" i="10" s="1"/>
  <c r="C149" i="10"/>
  <c r="S149" i="10" s="1"/>
  <c r="L149" i="10"/>
  <c r="M149" i="10" s="1"/>
  <c r="W149" i="10"/>
  <c r="X149" i="10" s="1"/>
  <c r="C150" i="10"/>
  <c r="J150" i="10"/>
  <c r="L150" i="10"/>
  <c r="V150" i="10"/>
  <c r="X150" i="10" s="1"/>
  <c r="X123" i="10" l="1"/>
  <c r="Y123" i="10"/>
  <c r="X122" i="10"/>
  <c r="Y122" i="10"/>
  <c r="X135" i="10"/>
  <c r="Y135" i="10"/>
  <c r="X111" i="10"/>
  <c r="Y111" i="10"/>
  <c r="X110" i="10"/>
  <c r="Y110" i="10"/>
  <c r="X132" i="10"/>
  <c r="Y132" i="10"/>
  <c r="X131" i="10"/>
  <c r="Y131" i="10"/>
  <c r="X128" i="10"/>
  <c r="Y128" i="10"/>
  <c r="X113" i="10"/>
  <c r="Y113" i="10"/>
  <c r="X126" i="10"/>
  <c r="X152" i="10" s="1"/>
  <c r="Y126" i="10"/>
  <c r="X125" i="10"/>
  <c r="Y125" i="10"/>
  <c r="X120" i="10"/>
  <c r="Y120" i="10"/>
  <c r="X119" i="10"/>
  <c r="Y119" i="10"/>
  <c r="X117" i="10"/>
  <c r="Y117" i="10"/>
  <c r="X116" i="10"/>
  <c r="Y116" i="10"/>
  <c r="B116" i="14"/>
  <c r="B117" i="14" s="1"/>
  <c r="N115" i="14"/>
  <c r="O115" i="14" s="1"/>
  <c r="M151" i="10"/>
  <c r="M123" i="10"/>
  <c r="Q122" i="10" s="1"/>
  <c r="M147" i="10"/>
  <c r="Q146" i="10" s="1"/>
  <c r="M141" i="10"/>
  <c r="Q140" i="10" s="1"/>
  <c r="N114" i="10"/>
  <c r="R113" i="10" s="1"/>
  <c r="N108" i="10"/>
  <c r="R108" i="10" s="1"/>
  <c r="N126" i="10"/>
  <c r="R125" i="10" s="1"/>
  <c r="M111" i="10"/>
  <c r="Q110" i="10" s="1"/>
  <c r="Q108" i="10"/>
  <c r="R141" i="10"/>
  <c r="M138" i="10"/>
  <c r="Q137" i="10" s="1"/>
  <c r="Q117" i="10"/>
  <c r="T119" i="10"/>
  <c r="Q123" i="10"/>
  <c r="N117" i="10"/>
  <c r="R116" i="10" s="1"/>
  <c r="N149" i="10"/>
  <c r="P149" i="10" s="1"/>
  <c r="U143" i="10"/>
  <c r="M129" i="10"/>
  <c r="Q128" i="10" s="1"/>
  <c r="M113" i="10"/>
  <c r="T113" i="10" s="1"/>
  <c r="O150" i="10"/>
  <c r="T150" i="10"/>
  <c r="R128" i="10"/>
  <c r="R129" i="10"/>
  <c r="R122" i="10"/>
  <c r="R123" i="10"/>
  <c r="Q120" i="10"/>
  <c r="Q119" i="10"/>
  <c r="X151" i="10"/>
  <c r="R111" i="10"/>
  <c r="Q144" i="10"/>
  <c r="Q132" i="10"/>
  <c r="M122" i="10"/>
  <c r="O122" i="10" s="1"/>
  <c r="O120" i="10"/>
  <c r="M110" i="10"/>
  <c r="N144" i="10"/>
  <c r="R143" i="10" s="1"/>
  <c r="Q141" i="10"/>
  <c r="Q135" i="10"/>
  <c r="N132" i="10"/>
  <c r="N120" i="10"/>
  <c r="R119" i="10" s="1"/>
  <c r="Q116" i="10"/>
  <c r="M143" i="10"/>
  <c r="T143" i="10" s="1"/>
  <c r="R135" i="10"/>
  <c r="R126" i="10"/>
  <c r="Q126" i="10"/>
  <c r="M116" i="10"/>
  <c r="O116" i="10" s="1"/>
  <c r="R114" i="10"/>
  <c r="O138" i="10"/>
  <c r="T138" i="10"/>
  <c r="O137" i="10"/>
  <c r="T137" i="10"/>
  <c r="P144" i="10"/>
  <c r="U144" i="10"/>
  <c r="P147" i="10"/>
  <c r="U147" i="10"/>
  <c r="T128" i="10"/>
  <c r="O129" i="10"/>
  <c r="T129" i="10"/>
  <c r="O128" i="10"/>
  <c r="P113" i="10"/>
  <c r="U113" i="10"/>
  <c r="P114" i="10"/>
  <c r="U114" i="10"/>
  <c r="M140" i="10"/>
  <c r="N140" i="10"/>
  <c r="T131" i="10"/>
  <c r="O132" i="10"/>
  <c r="T132" i="10"/>
  <c r="O131" i="10"/>
  <c r="P122" i="10"/>
  <c r="U122" i="10"/>
  <c r="P123" i="10"/>
  <c r="U123" i="10"/>
  <c r="P110" i="10"/>
  <c r="U110" i="10"/>
  <c r="P111" i="10"/>
  <c r="U111" i="10"/>
  <c r="R147" i="10"/>
  <c r="P146" i="10"/>
  <c r="O135" i="10"/>
  <c r="T135" i="10"/>
  <c r="O134" i="10"/>
  <c r="T134" i="10"/>
  <c r="P119" i="10"/>
  <c r="U119" i="10"/>
  <c r="P120" i="10"/>
  <c r="U120" i="10"/>
  <c r="M150" i="10"/>
  <c r="N150" i="10"/>
  <c r="O149" i="10"/>
  <c r="T149" i="10"/>
  <c r="M146" i="10"/>
  <c r="M152" i="10"/>
  <c r="S146" i="10"/>
  <c r="U146" i="10" s="1"/>
  <c r="P143" i="10"/>
  <c r="R138" i="10"/>
  <c r="T125" i="10"/>
  <c r="O126" i="10"/>
  <c r="T126" i="10"/>
  <c r="O125" i="10"/>
  <c r="P116" i="10"/>
  <c r="U116" i="10"/>
  <c r="P117" i="10"/>
  <c r="U117" i="10"/>
  <c r="O119" i="10"/>
  <c r="Q114" i="10"/>
  <c r="N137" i="10"/>
  <c r="R134" i="10"/>
  <c r="N134" i="10"/>
  <c r="N131" i="10"/>
  <c r="N128" i="10"/>
  <c r="N125" i="10"/>
  <c r="B118" i="14" l="1"/>
  <c r="B119" i="14" s="1"/>
  <c r="N117" i="14"/>
  <c r="O117" i="14" s="1"/>
  <c r="Q111" i="10"/>
  <c r="U150" i="10"/>
  <c r="Q147" i="10"/>
  <c r="U149" i="10"/>
  <c r="O113" i="10"/>
  <c r="P150" i="10"/>
  <c r="R144" i="10"/>
  <c r="O114" i="10"/>
  <c r="T114" i="10"/>
  <c r="Q138" i="10"/>
  <c r="T144" i="10"/>
  <c r="Q129" i="10"/>
  <c r="R117" i="10"/>
  <c r="R131" i="10"/>
  <c r="R132" i="10"/>
  <c r="T111" i="10"/>
  <c r="O111" i="10"/>
  <c r="R120" i="10"/>
  <c r="T116" i="10"/>
  <c r="O117" i="10"/>
  <c r="T117" i="10"/>
  <c r="O143" i="10"/>
  <c r="O144" i="10"/>
  <c r="O110" i="10"/>
  <c r="T110" i="10"/>
  <c r="T122" i="10"/>
  <c r="T123" i="10"/>
  <c r="O123" i="10"/>
  <c r="O146" i="10"/>
  <c r="O147" i="10"/>
  <c r="T147" i="10"/>
  <c r="T146" i="10"/>
  <c r="P141" i="10"/>
  <c r="U141" i="10"/>
  <c r="U140" i="10"/>
  <c r="P140" i="10"/>
  <c r="P131" i="10"/>
  <c r="U131" i="10"/>
  <c r="P132" i="10"/>
  <c r="U132" i="10"/>
  <c r="U134" i="10"/>
  <c r="P135" i="10"/>
  <c r="U135" i="10"/>
  <c r="P134" i="10"/>
  <c r="R150" i="10"/>
  <c r="R149" i="10"/>
  <c r="O140" i="10"/>
  <c r="T141" i="10"/>
  <c r="T140" i="10"/>
  <c r="O141" i="10"/>
  <c r="P125" i="10"/>
  <c r="U125" i="10"/>
  <c r="P126" i="10"/>
  <c r="U126" i="10"/>
  <c r="Q150" i="10"/>
  <c r="Q149" i="10"/>
  <c r="P128" i="10"/>
  <c r="U128" i="10"/>
  <c r="P129" i="10"/>
  <c r="U129" i="10"/>
  <c r="U137" i="10"/>
  <c r="P138" i="10"/>
  <c r="U138" i="10"/>
  <c r="P137" i="10"/>
  <c r="W30" i="10"/>
  <c r="W32" i="10"/>
  <c r="W28" i="10"/>
  <c r="W26" i="10"/>
  <c r="W24" i="10"/>
  <c r="W22" i="10"/>
  <c r="W20" i="10"/>
  <c r="W18" i="10"/>
  <c r="W16" i="10"/>
  <c r="W14" i="10"/>
  <c r="W12" i="10"/>
  <c r="W10" i="10"/>
  <c r="W8" i="10"/>
  <c r="W6" i="10"/>
  <c r="B120" i="14" l="1"/>
  <c r="B121" i="14" s="1"/>
  <c r="N119" i="14"/>
  <c r="O119" i="14" s="1"/>
  <c r="X18" i="10"/>
  <c r="Y18" i="10"/>
  <c r="X8" i="10"/>
  <c r="Y8" i="10"/>
  <c r="X16" i="10"/>
  <c r="Y16" i="10"/>
  <c r="X24" i="10"/>
  <c r="Y24" i="10"/>
  <c r="X30" i="10"/>
  <c r="Y30" i="10"/>
  <c r="X12" i="10"/>
  <c r="Y12" i="10"/>
  <c r="X28" i="10"/>
  <c r="Y28" i="10"/>
  <c r="X10" i="10"/>
  <c r="Y10" i="10"/>
  <c r="X26" i="10"/>
  <c r="Y26" i="10"/>
  <c r="X20" i="10"/>
  <c r="Y20" i="10"/>
  <c r="X6" i="10"/>
  <c r="Y6" i="10"/>
  <c r="X14" i="10"/>
  <c r="Y14" i="10"/>
  <c r="X22" i="10"/>
  <c r="Y22" i="10"/>
  <c r="X32" i="10"/>
  <c r="Y32" i="10"/>
  <c r="B122" i="14" l="1"/>
  <c r="B123" i="14" s="1"/>
  <c r="N121" i="14"/>
  <c r="O121" i="14" s="1"/>
  <c r="V33" i="10"/>
  <c r="X33" i="10" s="1"/>
  <c r="V31" i="10"/>
  <c r="V29" i="10"/>
  <c r="V27" i="10"/>
  <c r="V25" i="10"/>
  <c r="V23" i="10"/>
  <c r="V21" i="10"/>
  <c r="V19" i="10"/>
  <c r="V17" i="10"/>
  <c r="V15" i="10"/>
  <c r="V13" i="10"/>
  <c r="V11" i="10"/>
  <c r="V9" i="10"/>
  <c r="V7" i="10"/>
  <c r="V5" i="10"/>
  <c r="B124" i="14" l="1"/>
  <c r="B125" i="14" s="1"/>
  <c r="N123" i="14"/>
  <c r="O123" i="14" s="1"/>
  <c r="X11" i="10"/>
  <c r="Y11" i="10"/>
  <c r="X19" i="10"/>
  <c r="Y19" i="10"/>
  <c r="X27" i="10"/>
  <c r="Y27" i="10"/>
  <c r="X13" i="10"/>
  <c r="Y13" i="10"/>
  <c r="X21" i="10"/>
  <c r="Y21" i="10"/>
  <c r="X29" i="10"/>
  <c r="Y29" i="10"/>
  <c r="X7" i="10"/>
  <c r="Y7" i="10"/>
  <c r="X15" i="10"/>
  <c r="Y15" i="10"/>
  <c r="X23" i="10"/>
  <c r="Y23" i="10"/>
  <c r="X31" i="10"/>
  <c r="Y31" i="10"/>
  <c r="X9" i="10"/>
  <c r="Y9" i="10"/>
  <c r="X17" i="10"/>
  <c r="Y17" i="10"/>
  <c r="X25" i="10"/>
  <c r="Y25" i="10"/>
  <c r="B126" i="14" l="1"/>
  <c r="B127" i="14" s="1"/>
  <c r="N125" i="14"/>
  <c r="O125" i="14" s="1"/>
  <c r="X35" i="10"/>
  <c r="X34" i="10"/>
  <c r="V38" i="10" s="1"/>
  <c r="C33" i="10"/>
  <c r="C32" i="10"/>
  <c r="C31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S6" i="10" s="1"/>
  <c r="C5" i="10"/>
  <c r="S5" i="10" s="1"/>
  <c r="Z9" i="10" l="1"/>
  <c r="Z13" i="10"/>
  <c r="Z17" i="10"/>
  <c r="Z25" i="10"/>
  <c r="Z29" i="10"/>
  <c r="AB19" i="10"/>
  <c r="Z21" i="10"/>
  <c r="Z6" i="10"/>
  <c r="S8" i="10"/>
  <c r="Z10" i="10"/>
  <c r="S12" i="10"/>
  <c r="Z14" i="10"/>
  <c r="S16" i="10"/>
  <c r="Z18" i="10"/>
  <c r="S20" i="10"/>
  <c r="Z22" i="10"/>
  <c r="S24" i="10"/>
  <c r="Z26" i="10"/>
  <c r="S28" i="10"/>
  <c r="Z30" i="10"/>
  <c r="S32" i="10"/>
  <c r="Z7" i="10"/>
  <c r="Z11" i="10"/>
  <c r="Z15" i="10"/>
  <c r="Z19" i="10"/>
  <c r="Z23" i="10"/>
  <c r="Z27" i="10"/>
  <c r="Z31" i="10"/>
  <c r="Z8" i="10"/>
  <c r="S10" i="10"/>
  <c r="Z12" i="10"/>
  <c r="S14" i="10"/>
  <c r="Z16" i="10"/>
  <c r="S18" i="10"/>
  <c r="Z20" i="10"/>
  <c r="S22" i="10"/>
  <c r="Z24" i="10"/>
  <c r="S26" i="10"/>
  <c r="AB20" i="10"/>
  <c r="Z28" i="10"/>
  <c r="S30" i="10"/>
  <c r="V39" i="10"/>
  <c r="B128" i="14"/>
  <c r="B129" i="14" s="1"/>
  <c r="N127" i="14"/>
  <c r="O127" i="14" s="1"/>
  <c r="B130" i="14" l="1"/>
  <c r="N129" i="14"/>
  <c r="O129" i="14" s="1"/>
  <c r="O131" i="14" s="1"/>
  <c r="M35" i="10" l="1"/>
  <c r="Y9" i="14" l="1"/>
  <c r="AA9" i="14" s="1"/>
  <c r="AL9" i="14" l="1"/>
  <c r="AH9" i="14"/>
  <c r="Z9" i="14"/>
  <c r="AD9" i="14"/>
  <c r="AK9" i="14"/>
  <c r="AG9" i="14"/>
  <c r="AC9" i="14"/>
  <c r="Y8" i="14"/>
  <c r="AJ9" i="14"/>
  <c r="AF9" i="14"/>
  <c r="AB9" i="14"/>
  <c r="AM9" i="14"/>
  <c r="AI9" i="14"/>
  <c r="AE9" i="14"/>
  <c r="Y7" i="14" l="1"/>
  <c r="AC8" i="14"/>
  <c r="AG8" i="14"/>
  <c r="AK8" i="14"/>
  <c r="Z8" i="14"/>
  <c r="AD8" i="14"/>
  <c r="AH8" i="14"/>
  <c r="AL8" i="14"/>
  <c r="AA8" i="14"/>
  <c r="AE8" i="14"/>
  <c r="AI8" i="14"/>
  <c r="AM8" i="14"/>
  <c r="AB8" i="14"/>
  <c r="AF8" i="14"/>
  <c r="AJ8" i="14"/>
  <c r="AA7" i="14" l="1"/>
  <c r="AE7" i="14"/>
  <c r="AI7" i="14"/>
  <c r="AM7" i="14"/>
  <c r="AB7" i="14"/>
  <c r="AF7" i="14"/>
  <c r="AJ7" i="14"/>
  <c r="AC7" i="14"/>
  <c r="AG7" i="14"/>
  <c r="AK7" i="14"/>
  <c r="Z7" i="14"/>
  <c r="AD7" i="14"/>
  <c r="AH7" i="14"/>
  <c r="AL7" i="14"/>
  <c r="AN53" i="14"/>
  <c r="AN55" i="14"/>
  <c r="AN57" i="14"/>
  <c r="AN59" i="14"/>
  <c r="AN9" i="14"/>
  <c r="AN11" i="14"/>
  <c r="AN13" i="14"/>
  <c r="AN15" i="14"/>
  <c r="AN17" i="14"/>
  <c r="AN19" i="14"/>
  <c r="AN21" i="14"/>
  <c r="AN23" i="14"/>
  <c r="AN25" i="14"/>
  <c r="AN27" i="14"/>
  <c r="AN29" i="14"/>
  <c r="AN31" i="14"/>
  <c r="AN33" i="14"/>
  <c r="AN35" i="14"/>
  <c r="AN37" i="14"/>
  <c r="AN39" i="14"/>
  <c r="AN41" i="14"/>
  <c r="AN43" i="14"/>
  <c r="AN45" i="14"/>
  <c r="AN47" i="14"/>
  <c r="AN49" i="14"/>
  <c r="AN51" i="14"/>
  <c r="AN7" i="14"/>
  <c r="M64" i="14" l="1"/>
  <c r="L64" i="14"/>
  <c r="J64" i="14"/>
  <c r="I64" i="14"/>
  <c r="J31" i="10"/>
  <c r="J29" i="10"/>
  <c r="J27" i="10"/>
  <c r="J25" i="10"/>
  <c r="J23" i="10"/>
  <c r="J21" i="10"/>
  <c r="J19" i="10"/>
  <c r="J17" i="10"/>
  <c r="J15" i="10"/>
  <c r="J11" i="10"/>
  <c r="J13" i="10"/>
  <c r="J7" i="10"/>
  <c r="V20" i="14"/>
  <c r="V19" i="14"/>
  <c r="V18" i="14"/>
  <c r="V17" i="14"/>
  <c r="V16" i="14"/>
  <c r="V15" i="14"/>
  <c r="V14" i="14"/>
  <c r="V13" i="14"/>
  <c r="V12" i="14"/>
  <c r="V11" i="14"/>
  <c r="V10" i="14"/>
  <c r="V9" i="14"/>
  <c r="V8" i="14"/>
  <c r="V7" i="14"/>
  <c r="D34" i="5"/>
  <c r="D33" i="5"/>
  <c r="D32" i="5"/>
  <c r="O4" i="15"/>
  <c r="P4" i="15" s="1"/>
  <c r="O3" i="15"/>
  <c r="Q3" i="15" s="1"/>
  <c r="S4" i="15" s="1"/>
  <c r="O6" i="15"/>
  <c r="I4" i="15"/>
  <c r="J4" i="15" s="1"/>
  <c r="I3" i="15"/>
  <c r="K3" i="15" s="1"/>
  <c r="C3" i="15"/>
  <c r="D3" i="15" s="1"/>
  <c r="C4" i="15"/>
  <c r="D4" i="15" s="1"/>
  <c r="C5" i="15"/>
  <c r="M34" i="10"/>
  <c r="AK10" i="14"/>
  <c r="AJ10" i="14"/>
  <c r="AM10" i="14"/>
  <c r="AL10" i="14"/>
  <c r="Y11" i="14"/>
  <c r="AJ11" i="14" s="1"/>
  <c r="AG10" i="14"/>
  <c r="AH10" i="14"/>
  <c r="AI10" i="14"/>
  <c r="AG11" i="14"/>
  <c r="AF10" i="14"/>
  <c r="AE10" i="14"/>
  <c r="AD10" i="14"/>
  <c r="AC10" i="14"/>
  <c r="AB10" i="14"/>
  <c r="AA10" i="14"/>
  <c r="Z10" i="14"/>
  <c r="Q9" i="14"/>
  <c r="Q11" i="14" s="1"/>
  <c r="Q12" i="14" s="1"/>
  <c r="Q15" i="14" s="1"/>
  <c r="Q16" i="14" s="1"/>
  <c r="Q18" i="14" s="1"/>
  <c r="Q19" i="14" s="1"/>
  <c r="Q20" i="14" s="1"/>
  <c r="Q7" i="14"/>
  <c r="A96" i="14"/>
  <c r="A64" i="14"/>
  <c r="I37" i="14"/>
  <c r="K37" i="14" s="1"/>
  <c r="K38" i="14" s="1"/>
  <c r="I43" i="14"/>
  <c r="K43" i="14" s="1"/>
  <c r="K44" i="14" s="1"/>
  <c r="I41" i="14"/>
  <c r="J41" i="14" s="1"/>
  <c r="J42" i="14" s="1"/>
  <c r="I39" i="14"/>
  <c r="K39" i="14" s="1"/>
  <c r="K40" i="14" s="1"/>
  <c r="I35" i="14"/>
  <c r="J35" i="14" s="1"/>
  <c r="J36" i="14" s="1"/>
  <c r="I33" i="14"/>
  <c r="K33" i="14" s="1"/>
  <c r="K34" i="14" s="1"/>
  <c r="I31" i="14"/>
  <c r="J31" i="14" s="1"/>
  <c r="J32" i="14" s="1"/>
  <c r="I29" i="14"/>
  <c r="K29" i="14" s="1"/>
  <c r="K30" i="14" s="1"/>
  <c r="I27" i="14"/>
  <c r="K27" i="14" s="1"/>
  <c r="I25" i="14"/>
  <c r="K25" i="14" s="1"/>
  <c r="K26" i="14" s="1"/>
  <c r="I23" i="14"/>
  <c r="K23" i="14" s="1"/>
  <c r="I21" i="14"/>
  <c r="J21" i="14" s="1"/>
  <c r="J22" i="14" s="1"/>
  <c r="I19" i="14"/>
  <c r="J19" i="14" s="1"/>
  <c r="J20" i="14" s="1"/>
  <c r="J66" i="14"/>
  <c r="I66" i="14"/>
  <c r="M66" i="14"/>
  <c r="L66" i="14"/>
  <c r="K35" i="14"/>
  <c r="J37" i="14"/>
  <c r="J38" i="14" s="1"/>
  <c r="I9" i="14"/>
  <c r="J9" i="14" s="1"/>
  <c r="J10" i="14" s="1"/>
  <c r="I11" i="14"/>
  <c r="K11" i="14" s="1"/>
  <c r="K12" i="14" s="1"/>
  <c r="I13" i="14"/>
  <c r="K13" i="14" s="1"/>
  <c r="K14" i="14" s="1"/>
  <c r="I15" i="14"/>
  <c r="K15" i="14" s="1"/>
  <c r="K16" i="14" s="1"/>
  <c r="I17" i="14"/>
  <c r="K17" i="14" s="1"/>
  <c r="K18" i="14" s="1"/>
  <c r="I45" i="14"/>
  <c r="K45" i="14" s="1"/>
  <c r="K46" i="14" s="1"/>
  <c r="I47" i="14"/>
  <c r="K47" i="14" s="1"/>
  <c r="K48" i="14" s="1"/>
  <c r="I49" i="14"/>
  <c r="K49" i="14" s="1"/>
  <c r="K50" i="14" s="1"/>
  <c r="I51" i="14"/>
  <c r="K51" i="14" s="1"/>
  <c r="K52" i="14" s="1"/>
  <c r="I53" i="14"/>
  <c r="K53" i="14" s="1"/>
  <c r="K54" i="14" s="1"/>
  <c r="I55" i="14"/>
  <c r="K55" i="14" s="1"/>
  <c r="K56" i="14" s="1"/>
  <c r="I57" i="14"/>
  <c r="K57" i="14" s="1"/>
  <c r="K58" i="14" s="1"/>
  <c r="I59" i="14"/>
  <c r="K59" i="14" s="1"/>
  <c r="K60" i="14" s="1"/>
  <c r="I7" i="14"/>
  <c r="J7" i="14" s="1"/>
  <c r="E59" i="14"/>
  <c r="S20" i="14" s="1"/>
  <c r="X20" i="14" s="1"/>
  <c r="F57" i="14"/>
  <c r="E55" i="14"/>
  <c r="S19" i="14" s="1"/>
  <c r="X19" i="14" s="1"/>
  <c r="F53" i="14"/>
  <c r="E51" i="14"/>
  <c r="S18" i="14" s="1"/>
  <c r="X18" i="14" s="1"/>
  <c r="F49" i="14"/>
  <c r="E47" i="14"/>
  <c r="S17" i="14" s="1"/>
  <c r="X17" i="14" s="1"/>
  <c r="F45" i="14"/>
  <c r="E43" i="14"/>
  <c r="S16" i="14" s="1"/>
  <c r="X16" i="14" s="1"/>
  <c r="F41" i="14"/>
  <c r="E39" i="14"/>
  <c r="S15" i="14" s="1"/>
  <c r="X15" i="14" s="1"/>
  <c r="F37" i="14"/>
  <c r="E35" i="14"/>
  <c r="S14" i="14" s="1"/>
  <c r="X14" i="14" s="1"/>
  <c r="A34" i="14"/>
  <c r="F33" i="14"/>
  <c r="A32" i="14"/>
  <c r="E31" i="14"/>
  <c r="S13" i="14" s="1"/>
  <c r="X13" i="14" s="1"/>
  <c r="A30" i="14"/>
  <c r="F29" i="14"/>
  <c r="A28" i="14"/>
  <c r="E27" i="14"/>
  <c r="S12" i="14" s="1"/>
  <c r="X12" i="14" s="1"/>
  <c r="A26" i="14"/>
  <c r="F25" i="14"/>
  <c r="A24" i="14"/>
  <c r="E23" i="14"/>
  <c r="S11" i="14" s="1"/>
  <c r="X11" i="14" s="1"/>
  <c r="A22" i="14"/>
  <c r="F21" i="14"/>
  <c r="A20" i="14"/>
  <c r="E19" i="14"/>
  <c r="S10" i="14" s="1"/>
  <c r="X10" i="14" s="1"/>
  <c r="A18" i="14"/>
  <c r="F17" i="14"/>
  <c r="A16" i="14"/>
  <c r="E15" i="14"/>
  <c r="S9" i="14" s="1"/>
  <c r="X9" i="14" s="1"/>
  <c r="A14" i="14"/>
  <c r="F13" i="14"/>
  <c r="E11" i="14"/>
  <c r="S8" i="14" s="1"/>
  <c r="X8" i="14" s="1"/>
  <c r="A10" i="14"/>
  <c r="F9" i="14"/>
  <c r="A8" i="14"/>
  <c r="B8" i="14" s="1"/>
  <c r="B9" i="14" s="1"/>
  <c r="E7" i="14"/>
  <c r="R7" i="14" s="1"/>
  <c r="W7" i="14" s="1"/>
  <c r="L5" i="10"/>
  <c r="N5" i="10" s="1"/>
  <c r="D6" i="10"/>
  <c r="D8" i="10" s="1"/>
  <c r="D10" i="10" s="1"/>
  <c r="D12" i="10" s="1"/>
  <c r="D14" i="10" s="1"/>
  <c r="D16" i="10" s="1"/>
  <c r="D18" i="10" s="1"/>
  <c r="D20" i="10" s="1"/>
  <c r="D22" i="10" s="1"/>
  <c r="D24" i="10" s="1"/>
  <c r="D26" i="10" s="1"/>
  <c r="D28" i="10" s="1"/>
  <c r="D30" i="10" s="1"/>
  <c r="L6" i="10"/>
  <c r="M6" i="10" s="1"/>
  <c r="L7" i="10"/>
  <c r="M7" i="10" s="1"/>
  <c r="L8" i="10"/>
  <c r="M8" i="10" s="1"/>
  <c r="N38" i="10" s="1"/>
  <c r="L9" i="10"/>
  <c r="M9" i="10" s="1"/>
  <c r="Q9" i="10" s="1"/>
  <c r="L10" i="10"/>
  <c r="M10" i="10" s="1"/>
  <c r="L11" i="10"/>
  <c r="M11" i="10" s="1"/>
  <c r="L12" i="10"/>
  <c r="M12" i="10" s="1"/>
  <c r="L13" i="10"/>
  <c r="M13" i="10" s="1"/>
  <c r="L14" i="10"/>
  <c r="M14" i="10" s="1"/>
  <c r="L15" i="10"/>
  <c r="M15" i="10" s="1"/>
  <c r="L16" i="10"/>
  <c r="M16" i="10" s="1"/>
  <c r="L17" i="10"/>
  <c r="M17" i="10" s="1"/>
  <c r="L18" i="10"/>
  <c r="M18" i="10" s="1"/>
  <c r="L19" i="10"/>
  <c r="M19" i="10" s="1"/>
  <c r="Q19" i="10" s="1"/>
  <c r="L20" i="10"/>
  <c r="M20" i="10" s="1"/>
  <c r="L21" i="10"/>
  <c r="M21" i="10" s="1"/>
  <c r="L22" i="10"/>
  <c r="M22" i="10" s="1"/>
  <c r="L23" i="10"/>
  <c r="M23" i="10" s="1"/>
  <c r="L24" i="10"/>
  <c r="M24" i="10" s="1"/>
  <c r="L25" i="10"/>
  <c r="M25" i="10" s="1"/>
  <c r="L26" i="10"/>
  <c r="M26" i="10" s="1"/>
  <c r="L27" i="10"/>
  <c r="M27" i="10" s="1"/>
  <c r="Q27" i="10" s="1"/>
  <c r="L28" i="10"/>
  <c r="M28" i="10" s="1"/>
  <c r="L29" i="10"/>
  <c r="M29" i="10" s="1"/>
  <c r="L30" i="10"/>
  <c r="M30" i="10" s="1"/>
  <c r="L40" i="10" s="1"/>
  <c r="L31" i="10"/>
  <c r="M31" i="10" s="1"/>
  <c r="L32" i="10"/>
  <c r="M32" i="10" s="1"/>
  <c r="L33" i="10"/>
  <c r="M33" i="10" s="1"/>
  <c r="D5" i="5"/>
  <c r="B6" i="5"/>
  <c r="B7" i="5" s="1"/>
  <c r="B8" i="5" s="1"/>
  <c r="B9" i="5" s="1"/>
  <c r="B10" i="5" s="1"/>
  <c r="B11" i="5" s="1"/>
  <c r="B12" i="5" s="1"/>
  <c r="B13" i="5" s="1"/>
  <c r="B14" i="5" s="1"/>
  <c r="D6" i="5"/>
  <c r="D9" i="5"/>
  <c r="D10" i="5"/>
  <c r="D11" i="5"/>
  <c r="D12" i="5"/>
  <c r="D14" i="5"/>
  <c r="D16" i="5"/>
  <c r="D17" i="5"/>
  <c r="D18" i="5"/>
  <c r="D19" i="5"/>
  <c r="D20" i="5"/>
  <c r="D21" i="5"/>
  <c r="D22" i="5"/>
  <c r="D23" i="5"/>
  <c r="D24" i="5"/>
  <c r="D25" i="5"/>
  <c r="D26" i="5"/>
  <c r="D27" i="5"/>
  <c r="D30" i="5"/>
  <c r="D31" i="5"/>
  <c r="B7" i="13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C7" i="13"/>
  <c r="C8" i="13" s="1"/>
  <c r="C9" i="13" s="1"/>
  <c r="C10" i="13" s="1"/>
  <c r="C11" i="13" s="1"/>
  <c r="C12" i="13" s="1"/>
  <c r="C13" i="13" s="1"/>
  <c r="C14" i="13" s="1"/>
  <c r="C15" i="13" s="1"/>
  <c r="C16" i="13" s="1"/>
  <c r="C17" i="13" s="1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C28" i="13" s="1"/>
  <c r="C29" i="13" s="1"/>
  <c r="C30" i="13" s="1"/>
  <c r="C31" i="13" s="1"/>
  <c r="C32" i="13" s="1"/>
  <c r="C33" i="13" s="1"/>
  <c r="C34" i="13" s="1"/>
  <c r="C35" i="13" s="1"/>
  <c r="C36" i="13" s="1"/>
  <c r="H70" i="13"/>
  <c r="I70" i="13"/>
  <c r="H72" i="13"/>
  <c r="I72" i="13"/>
  <c r="B38" i="13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C38" i="13"/>
  <c r="C39" i="13" s="1"/>
  <c r="C40" i="13" s="1"/>
  <c r="C41" i="13" s="1"/>
  <c r="C42" i="13" s="1"/>
  <c r="C43" i="13" s="1"/>
  <c r="C44" i="13" s="1"/>
  <c r="C45" i="13" s="1"/>
  <c r="C46" i="13" s="1"/>
  <c r="C47" i="13" s="1"/>
  <c r="C48" i="13" s="1"/>
  <c r="C49" i="13" s="1"/>
  <c r="C50" i="13" s="1"/>
  <c r="C51" i="13" s="1"/>
  <c r="C52" i="13" s="1"/>
  <c r="C53" i="13" s="1"/>
  <c r="C54" i="13" s="1"/>
  <c r="C55" i="13" s="1"/>
  <c r="C56" i="13" s="1"/>
  <c r="C57" i="13" s="1"/>
  <c r="C58" i="13" s="1"/>
  <c r="C59" i="13" s="1"/>
  <c r="C60" i="13" s="1"/>
  <c r="C61" i="13" s="1"/>
  <c r="C62" i="13" s="1"/>
  <c r="C63" i="13" s="1"/>
  <c r="C64" i="13" s="1"/>
  <c r="H69" i="13"/>
  <c r="I69" i="13"/>
  <c r="H67" i="13"/>
  <c r="I67" i="13"/>
  <c r="K31" i="14" l="1"/>
  <c r="Q21" i="10"/>
  <c r="B15" i="5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Q29" i="10"/>
  <c r="J25" i="14"/>
  <c r="J26" i="14" s="1"/>
  <c r="AE11" i="14"/>
  <c r="J8" i="14"/>
  <c r="L8" i="14"/>
  <c r="J43" i="14"/>
  <c r="J44" i="14" s="1"/>
  <c r="J39" i="14"/>
  <c r="L40" i="14" s="1"/>
  <c r="J27" i="14"/>
  <c r="J28" i="14" s="1"/>
  <c r="P3" i="15"/>
  <c r="R4" i="15" s="1"/>
  <c r="F6" i="15"/>
  <c r="Q31" i="10"/>
  <c r="Q23" i="10"/>
  <c r="Q11" i="10"/>
  <c r="Q7" i="10"/>
  <c r="Q15" i="10"/>
  <c r="L38" i="10"/>
  <c r="Q33" i="10"/>
  <c r="N25" i="10"/>
  <c r="R25" i="10" s="1"/>
  <c r="Q25" i="10"/>
  <c r="Q17" i="10"/>
  <c r="Q13" i="10"/>
  <c r="N33" i="10"/>
  <c r="R33" i="10" s="1"/>
  <c r="M5" i="10"/>
  <c r="Q5" i="10" s="1"/>
  <c r="J33" i="14"/>
  <c r="J34" i="14" s="1"/>
  <c r="K41" i="14"/>
  <c r="K42" i="14" s="1"/>
  <c r="J23" i="14"/>
  <c r="J24" i="14" s="1"/>
  <c r="J29" i="14"/>
  <c r="J30" i="14" s="1"/>
  <c r="AC11" i="14"/>
  <c r="AA11" i="14"/>
  <c r="AF11" i="14"/>
  <c r="Z11" i="14"/>
  <c r="AB11" i="14"/>
  <c r="AD11" i="14"/>
  <c r="M24" i="14"/>
  <c r="K24" i="14"/>
  <c r="M28" i="14"/>
  <c r="K28" i="14"/>
  <c r="L44" i="14"/>
  <c r="M32" i="14"/>
  <c r="K32" i="14"/>
  <c r="K19" i="14"/>
  <c r="M19" i="14" s="1"/>
  <c r="M36" i="14"/>
  <c r="K36" i="14"/>
  <c r="AI11" i="14"/>
  <c r="N17" i="10"/>
  <c r="R17" i="10" s="1"/>
  <c r="N7" i="10"/>
  <c r="R7" i="10" s="1"/>
  <c r="K21" i="14"/>
  <c r="K22" i="14" s="1"/>
  <c r="N29" i="10"/>
  <c r="R29" i="10" s="1"/>
  <c r="N40" i="10"/>
  <c r="U38" i="10"/>
  <c r="U39" i="10"/>
  <c r="J3" i="15"/>
  <c r="F4" i="15" s="1"/>
  <c r="O5" i="15"/>
  <c r="P5" i="15" s="1"/>
  <c r="D36" i="5"/>
  <c r="O7" i="15"/>
  <c r="Q4" i="15"/>
  <c r="N32" i="10"/>
  <c r="P32" i="10" s="1"/>
  <c r="O30" i="10"/>
  <c r="N28" i="10"/>
  <c r="P28" i="10" s="1"/>
  <c r="N24" i="10"/>
  <c r="P24" i="10" s="1"/>
  <c r="N16" i="10"/>
  <c r="U16" i="10" s="1"/>
  <c r="O6" i="10"/>
  <c r="AM11" i="14"/>
  <c r="AK11" i="14"/>
  <c r="I5" i="15"/>
  <c r="U8" i="14"/>
  <c r="U10" i="14"/>
  <c r="U12" i="14"/>
  <c r="U14" i="14"/>
  <c r="U16" i="14"/>
  <c r="U18" i="14"/>
  <c r="U20" i="14"/>
  <c r="AH11" i="14"/>
  <c r="Y12" i="14"/>
  <c r="AE12" i="14" s="1"/>
  <c r="AL11" i="14"/>
  <c r="R5" i="10"/>
  <c r="E4" i="15"/>
  <c r="K4" i="15"/>
  <c r="E3" i="15"/>
  <c r="E5" i="15"/>
  <c r="D5" i="15"/>
  <c r="O16" i="10"/>
  <c r="O24" i="10"/>
  <c r="O20" i="10"/>
  <c r="N19" i="10"/>
  <c r="R19" i="10" s="1"/>
  <c r="N18" i="10"/>
  <c r="P18" i="10" s="1"/>
  <c r="O14" i="10"/>
  <c r="N13" i="10"/>
  <c r="R13" i="10" s="1"/>
  <c r="N12" i="10"/>
  <c r="P12" i="10" s="1"/>
  <c r="N9" i="10"/>
  <c r="O28" i="10"/>
  <c r="N27" i="10"/>
  <c r="R27" i="10" s="1"/>
  <c r="N26" i="10"/>
  <c r="P26" i="10" s="1"/>
  <c r="O22" i="10"/>
  <c r="N21" i="10"/>
  <c r="R21" i="10" s="1"/>
  <c r="N20" i="10"/>
  <c r="P20" i="10" s="1"/>
  <c r="O12" i="10"/>
  <c r="O10" i="10"/>
  <c r="O32" i="10"/>
  <c r="N31" i="10"/>
  <c r="R31" i="10" s="1"/>
  <c r="N30" i="10"/>
  <c r="U30" i="10" s="1"/>
  <c r="O26" i="10"/>
  <c r="N23" i="10"/>
  <c r="N22" i="10"/>
  <c r="P22" i="10" s="1"/>
  <c r="O18" i="10"/>
  <c r="N15" i="10"/>
  <c r="N14" i="10"/>
  <c r="P14" i="10" s="1"/>
  <c r="N11" i="10"/>
  <c r="R11" i="10" s="1"/>
  <c r="N10" i="10"/>
  <c r="P10" i="10" s="1"/>
  <c r="N8" i="10"/>
  <c r="N6" i="10"/>
  <c r="P6" i="10" s="1"/>
  <c r="T8" i="10"/>
  <c r="O8" i="10"/>
  <c r="T32" i="10"/>
  <c r="T10" i="10"/>
  <c r="T28" i="10"/>
  <c r="T24" i="10"/>
  <c r="T20" i="10"/>
  <c r="T16" i="10"/>
  <c r="T12" i="10"/>
  <c r="T30" i="10"/>
  <c r="T26" i="10"/>
  <c r="T22" i="10"/>
  <c r="T18" i="10"/>
  <c r="T14" i="10"/>
  <c r="T6" i="10"/>
  <c r="U19" i="14"/>
  <c r="U17" i="14"/>
  <c r="U15" i="14"/>
  <c r="U13" i="14"/>
  <c r="U11" i="14"/>
  <c r="U9" i="14"/>
  <c r="T7" i="14"/>
  <c r="R20" i="14"/>
  <c r="W20" i="14" s="1"/>
  <c r="R19" i="14"/>
  <c r="W19" i="14" s="1"/>
  <c r="R18" i="14"/>
  <c r="W18" i="14" s="1"/>
  <c r="R17" i="14"/>
  <c r="W17" i="14" s="1"/>
  <c r="R16" i="14"/>
  <c r="W16" i="14" s="1"/>
  <c r="R15" i="14"/>
  <c r="W15" i="14" s="1"/>
  <c r="R14" i="14"/>
  <c r="W14" i="14" s="1"/>
  <c r="R13" i="14"/>
  <c r="W13" i="14" s="1"/>
  <c r="R12" i="14"/>
  <c r="W12" i="14" s="1"/>
  <c r="R11" i="14"/>
  <c r="W11" i="14" s="1"/>
  <c r="R10" i="14"/>
  <c r="W10" i="14" s="1"/>
  <c r="R9" i="14"/>
  <c r="W9" i="14" s="1"/>
  <c r="R8" i="14"/>
  <c r="W8" i="14" s="1"/>
  <c r="S7" i="14"/>
  <c r="X7" i="14" s="1"/>
  <c r="K9" i="14"/>
  <c r="K10" i="14" s="1"/>
  <c r="L7" i="14"/>
  <c r="M16" i="14"/>
  <c r="M15" i="14"/>
  <c r="M12" i="14"/>
  <c r="M11" i="14"/>
  <c r="M60" i="14"/>
  <c r="M59" i="14"/>
  <c r="M56" i="14"/>
  <c r="M55" i="14"/>
  <c r="M52" i="14"/>
  <c r="M51" i="14"/>
  <c r="M48" i="14"/>
  <c r="M47" i="14"/>
  <c r="K7" i="14"/>
  <c r="J59" i="14"/>
  <c r="J60" i="14" s="1"/>
  <c r="J57" i="14"/>
  <c r="J58" i="14" s="1"/>
  <c r="J55" i="14"/>
  <c r="J56" i="14" s="1"/>
  <c r="J53" i="14"/>
  <c r="J54" i="14" s="1"/>
  <c r="J51" i="14"/>
  <c r="J52" i="14" s="1"/>
  <c r="J49" i="14"/>
  <c r="J50" i="14" s="1"/>
  <c r="J47" i="14"/>
  <c r="J48" i="14" s="1"/>
  <c r="J45" i="14"/>
  <c r="J46" i="14" s="1"/>
  <c r="L35" i="14"/>
  <c r="L31" i="14"/>
  <c r="L19" i="14"/>
  <c r="J17" i="14"/>
  <c r="J18" i="14" s="1"/>
  <c r="J15" i="14"/>
  <c r="J16" i="14" s="1"/>
  <c r="J13" i="14"/>
  <c r="J14" i="14" s="1"/>
  <c r="J11" i="14"/>
  <c r="J12" i="14" s="1"/>
  <c r="Q8" i="14"/>
  <c r="M43" i="14"/>
  <c r="M39" i="14"/>
  <c r="L43" i="14"/>
  <c r="M44" i="14"/>
  <c r="M40" i="14"/>
  <c r="M35" i="14"/>
  <c r="L36" i="14"/>
  <c r="M31" i="14"/>
  <c r="L32" i="14"/>
  <c r="M27" i="14"/>
  <c r="M23" i="14"/>
  <c r="L20" i="14"/>
  <c r="N7" i="14"/>
  <c r="N9" i="14"/>
  <c r="B10" i="14"/>
  <c r="B11" i="14" s="1"/>
  <c r="L28" i="14" l="1"/>
  <c r="L27" i="14"/>
  <c r="L39" i="14"/>
  <c r="G6" i="15"/>
  <c r="G3" i="15"/>
  <c r="G4" i="15"/>
  <c r="Q5" i="15"/>
  <c r="J40" i="14"/>
  <c r="L24" i="14"/>
  <c r="L23" i="14"/>
  <c r="K8" i="14"/>
  <c r="M8" i="14"/>
  <c r="U14" i="10"/>
  <c r="U6" i="10"/>
  <c r="U32" i="10"/>
  <c r="R15" i="10"/>
  <c r="M38" i="10"/>
  <c r="U8" i="10"/>
  <c r="O38" i="10"/>
  <c r="U22" i="10"/>
  <c r="U24" i="10"/>
  <c r="U18" i="10"/>
  <c r="AG12" i="14"/>
  <c r="AC12" i="14"/>
  <c r="AH12" i="14"/>
  <c r="M20" i="14"/>
  <c r="K20" i="14"/>
  <c r="AF12" i="14"/>
  <c r="AA12" i="14"/>
  <c r="Z12" i="14"/>
  <c r="U10" i="10"/>
  <c r="AD12" i="14"/>
  <c r="AI12" i="14"/>
  <c r="AB12" i="14"/>
  <c r="U26" i="10"/>
  <c r="U12" i="10"/>
  <c r="U20" i="10"/>
  <c r="U28" i="10"/>
  <c r="R23" i="10"/>
  <c r="O40" i="10"/>
  <c r="P30" i="10"/>
  <c r="M40" i="10"/>
  <c r="R9" i="10"/>
  <c r="P16" i="10"/>
  <c r="O8" i="15"/>
  <c r="P6" i="15"/>
  <c r="Q6" i="15"/>
  <c r="C6" i="15"/>
  <c r="I6" i="15"/>
  <c r="J5" i="15"/>
  <c r="K5" i="15"/>
  <c r="Y13" i="14"/>
  <c r="AJ12" i="14"/>
  <c r="AL12" i="14"/>
  <c r="AK12" i="14"/>
  <c r="AM12" i="14"/>
  <c r="P8" i="10"/>
  <c r="T10" i="14"/>
  <c r="T14" i="14"/>
  <c r="T18" i="14"/>
  <c r="T19" i="14"/>
  <c r="T15" i="14"/>
  <c r="T11" i="14"/>
  <c r="U7" i="14"/>
  <c r="T8" i="14"/>
  <c r="T12" i="14"/>
  <c r="T16" i="14"/>
  <c r="T20" i="14"/>
  <c r="T17" i="14"/>
  <c r="T13" i="14"/>
  <c r="T9" i="14"/>
  <c r="M7" i="14"/>
  <c r="L11" i="14"/>
  <c r="L12" i="14"/>
  <c r="L15" i="14"/>
  <c r="L16" i="14"/>
  <c r="L47" i="14"/>
  <c r="L48" i="14"/>
  <c r="L51" i="14"/>
  <c r="L52" i="14"/>
  <c r="L55" i="14"/>
  <c r="L56" i="14"/>
  <c r="L59" i="14"/>
  <c r="L60" i="14"/>
  <c r="B12" i="14"/>
  <c r="B13" i="14" s="1"/>
  <c r="N13" i="14" s="1"/>
  <c r="P13" i="14" s="1"/>
  <c r="N11" i="14"/>
  <c r="O11" i="14" l="1"/>
  <c r="P11" i="14"/>
  <c r="O9" i="15"/>
  <c r="P7" i="15"/>
  <c r="Q7" i="15"/>
  <c r="C7" i="15"/>
  <c r="I7" i="15"/>
  <c r="D6" i="15"/>
  <c r="E6" i="15"/>
  <c r="Y14" i="14"/>
  <c r="AJ13" i="14"/>
  <c r="AL13" i="14"/>
  <c r="AK13" i="14"/>
  <c r="AM13" i="14"/>
  <c r="AA13" i="14"/>
  <c r="AE13" i="14"/>
  <c r="Z13" i="14"/>
  <c r="AD13" i="14"/>
  <c r="AI13" i="14"/>
  <c r="AC13" i="14"/>
  <c r="AF13" i="14"/>
  <c r="AH13" i="14"/>
  <c r="AB13" i="14"/>
  <c r="AG13" i="14"/>
  <c r="J6" i="15"/>
  <c r="K6" i="15"/>
  <c r="B14" i="14"/>
  <c r="B15" i="14" s="1"/>
  <c r="O10" i="15" l="1"/>
  <c r="P8" i="15"/>
  <c r="Q8" i="15"/>
  <c r="Y15" i="14"/>
  <c r="AJ14" i="14"/>
  <c r="AL14" i="14"/>
  <c r="AK14" i="14"/>
  <c r="AM14" i="14"/>
  <c r="AC14" i="14"/>
  <c r="AG14" i="14"/>
  <c r="AB14" i="14"/>
  <c r="AA14" i="14"/>
  <c r="AE14" i="14"/>
  <c r="AI14" i="14"/>
  <c r="Z14" i="14"/>
  <c r="AD14" i="14"/>
  <c r="AF14" i="14"/>
  <c r="AH14" i="14"/>
  <c r="C8" i="15"/>
  <c r="I8" i="15"/>
  <c r="D7" i="15"/>
  <c r="E7" i="15"/>
  <c r="K7" i="15"/>
  <c r="J7" i="15"/>
  <c r="B16" i="14"/>
  <c r="B17" i="14" s="1"/>
  <c r="N17" i="14" s="1"/>
  <c r="P17" i="14" s="1"/>
  <c r="N15" i="14"/>
  <c r="O15" i="14" l="1"/>
  <c r="P15" i="14"/>
  <c r="O11" i="15"/>
  <c r="P9" i="15"/>
  <c r="Q9" i="15"/>
  <c r="J8" i="15"/>
  <c r="K8" i="15"/>
  <c r="AJ15" i="14"/>
  <c r="AL15" i="14"/>
  <c r="AK15" i="14"/>
  <c r="AM15" i="14"/>
  <c r="AA15" i="14"/>
  <c r="AE15" i="14"/>
  <c r="AF15" i="14"/>
  <c r="AH15" i="14"/>
  <c r="Z15" i="14"/>
  <c r="AD15" i="14"/>
  <c r="AG15" i="14"/>
  <c r="Y16" i="14"/>
  <c r="AC15" i="14"/>
  <c r="AB15" i="14"/>
  <c r="AI15" i="14"/>
  <c r="C9" i="15"/>
  <c r="I9" i="15"/>
  <c r="D8" i="15"/>
  <c r="E8" i="15"/>
  <c r="B18" i="14"/>
  <c r="B19" i="14" s="1"/>
  <c r="O12" i="15" l="1"/>
  <c r="P10" i="15"/>
  <c r="Q10" i="15"/>
  <c r="J9" i="15"/>
  <c r="K9" i="15"/>
  <c r="D9" i="15"/>
  <c r="E9" i="15"/>
  <c r="C10" i="15"/>
  <c r="I10" i="15"/>
  <c r="AJ16" i="14"/>
  <c r="AL16" i="14"/>
  <c r="AK16" i="14"/>
  <c r="AM16" i="14"/>
  <c r="AC16" i="14"/>
  <c r="AH16" i="14"/>
  <c r="AB16" i="14"/>
  <c r="AF16" i="14"/>
  <c r="AG16" i="14"/>
  <c r="AE16" i="14"/>
  <c r="Z16" i="14"/>
  <c r="AD16" i="14"/>
  <c r="AI16" i="14"/>
  <c r="Y17" i="14"/>
  <c r="AA16" i="14"/>
  <c r="B20" i="14"/>
  <c r="B21" i="14" s="1"/>
  <c r="N21" i="14" s="1"/>
  <c r="P21" i="14" s="1"/>
  <c r="N19" i="14"/>
  <c r="O19" i="14" l="1"/>
  <c r="P19" i="14"/>
  <c r="O13" i="15"/>
  <c r="P11" i="15"/>
  <c r="Q11" i="15"/>
  <c r="AJ17" i="14"/>
  <c r="AL17" i="14"/>
  <c r="AK17" i="14"/>
  <c r="AM17" i="14"/>
  <c r="AA17" i="14"/>
  <c r="AI17" i="14"/>
  <c r="AD17" i="14"/>
  <c r="AF17" i="14"/>
  <c r="Y18" i="14"/>
  <c r="AE17" i="14"/>
  <c r="Z17" i="14"/>
  <c r="AC17" i="14"/>
  <c r="AG17" i="14"/>
  <c r="AH17" i="14"/>
  <c r="AB17" i="14"/>
  <c r="C11" i="15"/>
  <c r="I11" i="15"/>
  <c r="D10" i="15"/>
  <c r="E10" i="15"/>
  <c r="J10" i="15"/>
  <c r="K10" i="15"/>
  <c r="B22" i="14"/>
  <c r="B23" i="14" s="1"/>
  <c r="O14" i="15" l="1"/>
  <c r="P12" i="15"/>
  <c r="Q12" i="15"/>
  <c r="K11" i="15"/>
  <c r="J11" i="15"/>
  <c r="AJ18" i="14"/>
  <c r="AL18" i="14"/>
  <c r="AK18" i="14"/>
  <c r="AM18" i="14"/>
  <c r="Y19" i="14"/>
  <c r="AC18" i="14"/>
  <c r="AG18" i="14"/>
  <c r="AH18" i="14"/>
  <c r="AD18" i="14"/>
  <c r="AI18" i="14"/>
  <c r="AA18" i="14"/>
  <c r="AB18" i="14"/>
  <c r="AE18" i="14"/>
  <c r="Z18" i="14"/>
  <c r="AF18" i="14"/>
  <c r="C12" i="15"/>
  <c r="I12" i="15"/>
  <c r="D11" i="15"/>
  <c r="E11" i="15"/>
  <c r="B24" i="14"/>
  <c r="B25" i="14" s="1"/>
  <c r="N23" i="14"/>
  <c r="O23" i="14" l="1"/>
  <c r="P23" i="14"/>
  <c r="O15" i="15"/>
  <c r="P13" i="15"/>
  <c r="Q13" i="15"/>
  <c r="J12" i="15"/>
  <c r="K12" i="15"/>
  <c r="AJ19" i="14"/>
  <c r="AL19" i="14"/>
  <c r="AK19" i="14"/>
  <c r="AM19" i="14"/>
  <c r="AA19" i="14"/>
  <c r="AH19" i="14"/>
  <c r="Y20" i="14"/>
  <c r="Y21" i="14" s="1"/>
  <c r="AE19" i="14"/>
  <c r="AG19" i="14"/>
  <c r="AD19" i="14"/>
  <c r="AC19" i="14"/>
  <c r="AB19" i="14"/>
  <c r="AF19" i="14"/>
  <c r="Z19" i="14"/>
  <c r="AI19" i="14"/>
  <c r="C13" i="15"/>
  <c r="I13" i="15"/>
  <c r="D12" i="15"/>
  <c r="E12" i="15"/>
  <c r="B26" i="14"/>
  <c r="B27" i="14" s="1"/>
  <c r="N25" i="14"/>
  <c r="P25" i="14" s="1"/>
  <c r="AC21" i="14" l="1"/>
  <c r="AG21" i="14"/>
  <c r="AK21" i="14"/>
  <c r="Z21" i="14"/>
  <c r="AD21" i="14"/>
  <c r="AH21" i="14"/>
  <c r="AL21" i="14"/>
  <c r="AA21" i="14"/>
  <c r="AE21" i="14"/>
  <c r="AI21" i="14"/>
  <c r="AM21" i="14"/>
  <c r="Y22" i="14"/>
  <c r="Y23" i="14" s="1"/>
  <c r="AB21" i="14"/>
  <c r="AF21" i="14"/>
  <c r="AJ21" i="14"/>
  <c r="O16" i="15"/>
  <c r="P14" i="15"/>
  <c r="Q14" i="15"/>
  <c r="D13" i="15"/>
  <c r="E13" i="15"/>
  <c r="AJ20" i="14"/>
  <c r="AL20" i="14"/>
  <c r="AK20" i="14"/>
  <c r="AM20" i="14"/>
  <c r="AA20" i="14"/>
  <c r="AC20" i="14"/>
  <c r="AB20" i="14"/>
  <c r="AE20" i="14"/>
  <c r="AD20" i="14"/>
  <c r="AG20" i="14"/>
  <c r="AH20" i="14"/>
  <c r="AF20" i="14"/>
  <c r="Z20" i="14"/>
  <c r="AI20" i="14"/>
  <c r="J13" i="15"/>
  <c r="K13" i="15"/>
  <c r="C14" i="15"/>
  <c r="I14" i="15"/>
  <c r="B28" i="14"/>
  <c r="B29" i="14" s="1"/>
  <c r="N27" i="14"/>
  <c r="Z23" i="14" l="1"/>
  <c r="AA23" i="14"/>
  <c r="AA22" i="14"/>
  <c r="AE22" i="14"/>
  <c r="AI22" i="14"/>
  <c r="AM22" i="14"/>
  <c r="AB22" i="14"/>
  <c r="AF22" i="14"/>
  <c r="AJ22" i="14"/>
  <c r="AC22" i="14"/>
  <c r="AG22" i="14"/>
  <c r="AK22" i="14"/>
  <c r="Z22" i="14"/>
  <c r="AD22" i="14"/>
  <c r="AH22" i="14"/>
  <c r="AL22" i="14"/>
  <c r="O27" i="14"/>
  <c r="P27" i="14"/>
  <c r="O17" i="15"/>
  <c r="P15" i="15"/>
  <c r="Q15" i="15"/>
  <c r="C15" i="15"/>
  <c r="I15" i="15"/>
  <c r="D14" i="15"/>
  <c r="E14" i="15"/>
  <c r="J14" i="15"/>
  <c r="K14" i="15"/>
  <c r="N29" i="14"/>
  <c r="P29" i="14" s="1"/>
  <c r="B30" i="14"/>
  <c r="B31" i="14" s="1"/>
  <c r="O18" i="15" l="1"/>
  <c r="P16" i="15"/>
  <c r="Q16" i="15"/>
  <c r="C16" i="15"/>
  <c r="I16" i="15"/>
  <c r="D15" i="15"/>
  <c r="E15" i="15"/>
  <c r="K15" i="15"/>
  <c r="J15" i="15"/>
  <c r="B32" i="14"/>
  <c r="B33" i="14" s="1"/>
  <c r="N31" i="14"/>
  <c r="O31" i="14" l="1"/>
  <c r="P31" i="14"/>
  <c r="O19" i="15"/>
  <c r="P17" i="15"/>
  <c r="Q17" i="15"/>
  <c r="C17" i="15"/>
  <c r="I17" i="15"/>
  <c r="D16" i="15"/>
  <c r="E16" i="15"/>
  <c r="J16" i="15"/>
  <c r="K16" i="15"/>
  <c r="B34" i="14"/>
  <c r="B35" i="14" s="1"/>
  <c r="N33" i="14"/>
  <c r="P33" i="14" s="1"/>
  <c r="O20" i="15" l="1"/>
  <c r="P18" i="15"/>
  <c r="Q18" i="15"/>
  <c r="I18" i="15"/>
  <c r="C18" i="15"/>
  <c r="D17" i="15"/>
  <c r="E17" i="15"/>
  <c r="J17" i="15"/>
  <c r="K17" i="15"/>
  <c r="N35" i="14"/>
  <c r="B36" i="14"/>
  <c r="B37" i="14" s="1"/>
  <c r="O35" i="14" l="1"/>
  <c r="P35" i="14"/>
  <c r="O21" i="15"/>
  <c r="P19" i="15"/>
  <c r="Q19" i="15"/>
  <c r="I19" i="15"/>
  <c r="C19" i="15"/>
  <c r="J18" i="15"/>
  <c r="K18" i="15"/>
  <c r="D18" i="15"/>
  <c r="E18" i="15"/>
  <c r="B38" i="14"/>
  <c r="B39" i="14" s="1"/>
  <c r="N37" i="14"/>
  <c r="P37" i="14" s="1"/>
  <c r="O22" i="15" l="1"/>
  <c r="P20" i="15"/>
  <c r="Q20" i="15"/>
  <c r="C20" i="15"/>
  <c r="I20" i="15"/>
  <c r="K19" i="15"/>
  <c r="J19" i="15"/>
  <c r="D19" i="15"/>
  <c r="E19" i="15"/>
  <c r="B40" i="14"/>
  <c r="B41" i="14" s="1"/>
  <c r="N39" i="14"/>
  <c r="O39" i="14" l="1"/>
  <c r="P39" i="14"/>
  <c r="O23" i="15"/>
  <c r="P21" i="15"/>
  <c r="Q21" i="15"/>
  <c r="C21" i="15"/>
  <c r="I21" i="15"/>
  <c r="D20" i="15"/>
  <c r="E20" i="15"/>
  <c r="J20" i="15"/>
  <c r="K20" i="15"/>
  <c r="B42" i="14"/>
  <c r="B43" i="14" s="1"/>
  <c r="N41" i="14"/>
  <c r="P41" i="14" s="1"/>
  <c r="O24" i="15" l="1"/>
  <c r="P22" i="15"/>
  <c r="Q22" i="15"/>
  <c r="I22" i="15"/>
  <c r="C22" i="15"/>
  <c r="D21" i="15"/>
  <c r="E21" i="15"/>
  <c r="J21" i="15"/>
  <c r="K21" i="15"/>
  <c r="N43" i="14"/>
  <c r="B44" i="14"/>
  <c r="B45" i="14" s="1"/>
  <c r="O43" i="14" l="1"/>
  <c r="P43" i="14"/>
  <c r="O25" i="15"/>
  <c r="P23" i="15"/>
  <c r="Q23" i="15"/>
  <c r="I23" i="15"/>
  <c r="C23" i="15"/>
  <c r="J22" i="15"/>
  <c r="K22" i="15"/>
  <c r="D22" i="15"/>
  <c r="E22" i="15"/>
  <c r="B46" i="14"/>
  <c r="B47" i="14" s="1"/>
  <c r="N45" i="14"/>
  <c r="P45" i="14" s="1"/>
  <c r="O26" i="15" l="1"/>
  <c r="P24" i="15"/>
  <c r="Q24" i="15"/>
  <c r="C24" i="15"/>
  <c r="I24" i="15"/>
  <c r="K23" i="15"/>
  <c r="J23" i="15"/>
  <c r="D23" i="15"/>
  <c r="E23" i="15"/>
  <c r="B48" i="14"/>
  <c r="B49" i="14" s="1"/>
  <c r="N47" i="14"/>
  <c r="O47" i="14" l="1"/>
  <c r="P47" i="14"/>
  <c r="O27" i="15"/>
  <c r="P25" i="15"/>
  <c r="Q25" i="15"/>
  <c r="J24" i="15"/>
  <c r="K24" i="15"/>
  <c r="D24" i="15"/>
  <c r="E24" i="15"/>
  <c r="I25" i="15"/>
  <c r="C25" i="15"/>
  <c r="B50" i="14"/>
  <c r="B51" i="14" s="1"/>
  <c r="N49" i="14"/>
  <c r="P49" i="14" s="1"/>
  <c r="O28" i="15" l="1"/>
  <c r="P26" i="15"/>
  <c r="Q26" i="15"/>
  <c r="D25" i="15"/>
  <c r="E25" i="15"/>
  <c r="I26" i="15"/>
  <c r="C26" i="15"/>
  <c r="J25" i="15"/>
  <c r="K25" i="15"/>
  <c r="N51" i="14"/>
  <c r="B52" i="14"/>
  <c r="B53" i="14" s="1"/>
  <c r="O51" i="14" l="1"/>
  <c r="P51" i="14"/>
  <c r="O29" i="15"/>
  <c r="P27" i="15"/>
  <c r="Q27" i="15"/>
  <c r="D26" i="15"/>
  <c r="E26" i="15"/>
  <c r="J26" i="15"/>
  <c r="K26" i="15"/>
  <c r="I27" i="15"/>
  <c r="C27" i="15"/>
  <c r="B54" i="14"/>
  <c r="B55" i="14" s="1"/>
  <c r="N53" i="14"/>
  <c r="P53" i="14" s="1"/>
  <c r="O30" i="15" l="1"/>
  <c r="P28" i="15"/>
  <c r="Q28" i="15"/>
  <c r="D27" i="15"/>
  <c r="E27" i="15"/>
  <c r="I28" i="15"/>
  <c r="C28" i="15"/>
  <c r="J27" i="15"/>
  <c r="K27" i="15"/>
  <c r="B56" i="14"/>
  <c r="B57" i="14" s="1"/>
  <c r="N55" i="14"/>
  <c r="O55" i="14" l="1"/>
  <c r="P55" i="14"/>
  <c r="O31" i="15"/>
  <c r="P29" i="15"/>
  <c r="Q29" i="15"/>
  <c r="D28" i="15"/>
  <c r="E28" i="15"/>
  <c r="I29" i="15"/>
  <c r="C29" i="15"/>
  <c r="J28" i="15"/>
  <c r="K28" i="15"/>
  <c r="B58" i="14"/>
  <c r="B59" i="14" s="1"/>
  <c r="N57" i="14"/>
  <c r="P57" i="14" s="1"/>
  <c r="O32" i="15" l="1"/>
  <c r="P30" i="15"/>
  <c r="Q30" i="15"/>
  <c r="D29" i="15"/>
  <c r="E29" i="15"/>
  <c r="J29" i="15"/>
  <c r="K29" i="15"/>
  <c r="I30" i="15"/>
  <c r="C30" i="15"/>
  <c r="N59" i="14"/>
  <c r="B60" i="14"/>
  <c r="O59" i="14" l="1"/>
  <c r="O61" i="14" s="1"/>
  <c r="P59" i="14"/>
  <c r="O33" i="15"/>
  <c r="P31" i="15"/>
  <c r="Q31" i="15"/>
  <c r="D30" i="15"/>
  <c r="E30" i="15"/>
  <c r="K30" i="15"/>
  <c r="J30" i="15"/>
  <c r="I31" i="15"/>
  <c r="C31" i="15"/>
  <c r="O34" i="15" l="1"/>
  <c r="P32" i="15"/>
  <c r="Q32" i="15"/>
  <c r="D31" i="15"/>
  <c r="E31" i="15"/>
  <c r="I32" i="15"/>
  <c r="C32" i="15"/>
  <c r="J31" i="15"/>
  <c r="K31" i="15"/>
  <c r="O35" i="15" l="1"/>
  <c r="P33" i="15"/>
  <c r="Q33" i="15"/>
  <c r="I33" i="15"/>
  <c r="C33" i="15"/>
  <c r="J32" i="15"/>
  <c r="K32" i="15"/>
  <c r="D32" i="15"/>
  <c r="E32" i="15"/>
  <c r="O36" i="15" l="1"/>
  <c r="P34" i="15"/>
  <c r="Q34" i="15"/>
  <c r="I34" i="15"/>
  <c r="C34" i="15"/>
  <c r="J33" i="15"/>
  <c r="K33" i="15"/>
  <c r="D33" i="15"/>
  <c r="E33" i="15"/>
  <c r="O37" i="15" l="1"/>
  <c r="P35" i="15"/>
  <c r="Q35" i="15"/>
  <c r="C35" i="15"/>
  <c r="I35" i="15"/>
  <c r="K34" i="15"/>
  <c r="J34" i="15"/>
  <c r="F3" i="15" s="1"/>
  <c r="D34" i="15"/>
  <c r="E34" i="15"/>
  <c r="O38" i="15" l="1"/>
  <c r="P36" i="15"/>
  <c r="Q36" i="15"/>
  <c r="C36" i="15"/>
  <c r="D35" i="15"/>
  <c r="E35" i="15"/>
  <c r="J35" i="15"/>
  <c r="K35" i="15"/>
  <c r="O39" i="15" l="1"/>
  <c r="P37" i="15"/>
  <c r="Q37" i="15"/>
  <c r="D36" i="15"/>
  <c r="E36" i="15"/>
  <c r="C37" i="15"/>
  <c r="O40" i="15" l="1"/>
  <c r="P38" i="15"/>
  <c r="Q38" i="15"/>
  <c r="D37" i="15"/>
  <c r="E37" i="15"/>
  <c r="C38" i="15"/>
  <c r="O41" i="15" l="1"/>
  <c r="P39" i="15"/>
  <c r="Q39" i="15"/>
  <c r="D38" i="15"/>
  <c r="E38" i="15"/>
  <c r="C39" i="15"/>
  <c r="O42" i="15" l="1"/>
  <c r="P40" i="15"/>
  <c r="Q40" i="15"/>
  <c r="D39" i="15"/>
  <c r="F5" i="15" s="1"/>
  <c r="E39" i="15"/>
  <c r="G5" i="15" s="1"/>
  <c r="C40" i="15"/>
  <c r="O43" i="15" l="1"/>
  <c r="P41" i="15"/>
  <c r="Q41" i="15"/>
  <c r="D40" i="15"/>
  <c r="E40" i="15"/>
  <c r="C41" i="15"/>
  <c r="O44" i="15" l="1"/>
  <c r="P42" i="15"/>
  <c r="Q42" i="15"/>
  <c r="C42" i="15"/>
  <c r="D41" i="15"/>
  <c r="E41" i="15"/>
  <c r="O45" i="15" l="1"/>
  <c r="P43" i="15"/>
  <c r="Q43" i="15"/>
  <c r="C43" i="15"/>
  <c r="D42" i="15"/>
  <c r="E42" i="15"/>
  <c r="O46" i="15" l="1"/>
  <c r="P44" i="15"/>
  <c r="Q44" i="15"/>
  <c r="C44" i="15"/>
  <c r="D43" i="15"/>
  <c r="E43" i="15"/>
  <c r="O47" i="15" l="1"/>
  <c r="P45" i="15"/>
  <c r="Q45" i="15"/>
  <c r="C45" i="15"/>
  <c r="D44" i="15"/>
  <c r="E44" i="15"/>
  <c r="O48" i="15" l="1"/>
  <c r="P46" i="15"/>
  <c r="Q46" i="15"/>
  <c r="C46" i="15"/>
  <c r="D45" i="15"/>
  <c r="E45" i="15"/>
  <c r="O49" i="15" l="1"/>
  <c r="P47" i="15"/>
  <c r="Q47" i="15"/>
  <c r="C47" i="15"/>
  <c r="D46" i="15"/>
  <c r="E46" i="15"/>
  <c r="O50" i="15" l="1"/>
  <c r="P48" i="15"/>
  <c r="Q48" i="15"/>
  <c r="C48" i="15"/>
  <c r="D47" i="15"/>
  <c r="E47" i="15"/>
  <c r="O51" i="15" l="1"/>
  <c r="P49" i="15"/>
  <c r="Q49" i="15"/>
  <c r="D48" i="15"/>
  <c r="E48" i="15"/>
  <c r="C49" i="15"/>
  <c r="O52" i="15" l="1"/>
  <c r="P50" i="15"/>
  <c r="Q50" i="15"/>
  <c r="D49" i="15"/>
  <c r="E49" i="15"/>
  <c r="C50" i="15"/>
  <c r="O53" i="15" l="1"/>
  <c r="P51" i="15"/>
  <c r="Q51" i="15"/>
  <c r="D50" i="15"/>
  <c r="E50" i="15"/>
  <c r="C51" i="15"/>
  <c r="O54" i="15" l="1"/>
  <c r="P52" i="15"/>
  <c r="Q52" i="15"/>
  <c r="D51" i="15"/>
  <c r="E51" i="15"/>
  <c r="C52" i="15"/>
  <c r="O55" i="15" l="1"/>
  <c r="P53" i="15"/>
  <c r="Q53" i="15"/>
  <c r="D52" i="15"/>
  <c r="E52" i="15"/>
  <c r="C53" i="15"/>
  <c r="O56" i="15" l="1"/>
  <c r="P54" i="15"/>
  <c r="Q54" i="15"/>
  <c r="D53" i="15"/>
  <c r="E53" i="15"/>
  <c r="C54" i="15"/>
  <c r="O57" i="15" l="1"/>
  <c r="P55" i="15"/>
  <c r="Q55" i="15"/>
  <c r="D54" i="15"/>
  <c r="E54" i="15"/>
  <c r="C55" i="15"/>
  <c r="O58" i="15" l="1"/>
  <c r="P56" i="15"/>
  <c r="Q56" i="15"/>
  <c r="D55" i="15"/>
  <c r="E55" i="15"/>
  <c r="C56" i="15"/>
  <c r="O59" i="15" l="1"/>
  <c r="P57" i="15"/>
  <c r="Q57" i="15"/>
  <c r="D56" i="15"/>
  <c r="E56" i="15"/>
  <c r="C57" i="15"/>
  <c r="O60" i="15" l="1"/>
  <c r="P58" i="15"/>
  <c r="Q58" i="15"/>
  <c r="C58" i="15"/>
  <c r="D57" i="15"/>
  <c r="E57" i="15"/>
  <c r="O61" i="15" l="1"/>
  <c r="P59" i="15"/>
  <c r="Q59" i="15"/>
  <c r="C59" i="15"/>
  <c r="D58" i="15"/>
  <c r="E58" i="15"/>
  <c r="O62" i="15" l="1"/>
  <c r="P60" i="15"/>
  <c r="Q60" i="15"/>
  <c r="C60" i="15"/>
  <c r="D59" i="15"/>
  <c r="E59" i="15"/>
  <c r="O63" i="15" l="1"/>
  <c r="P61" i="15"/>
  <c r="Q61" i="15"/>
  <c r="C61" i="15"/>
  <c r="D60" i="15"/>
  <c r="E60" i="15"/>
  <c r="O64" i="15" l="1"/>
  <c r="P62" i="15"/>
  <c r="Q62" i="15"/>
  <c r="C62" i="15"/>
  <c r="D61" i="15"/>
  <c r="E61" i="15"/>
  <c r="O65" i="15" l="1"/>
  <c r="P63" i="15"/>
  <c r="Q63" i="15"/>
  <c r="C63" i="15"/>
  <c r="D62" i="15"/>
  <c r="E62" i="15"/>
  <c r="O66" i="15" l="1"/>
  <c r="P64" i="15"/>
  <c r="Q64" i="15"/>
  <c r="C64" i="15"/>
  <c r="D63" i="15"/>
  <c r="E63" i="15"/>
  <c r="O67" i="15" l="1"/>
  <c r="P65" i="15"/>
  <c r="Q65" i="15"/>
  <c r="D64" i="15"/>
  <c r="E64" i="15"/>
  <c r="C65" i="15"/>
  <c r="C83" i="15" l="1"/>
  <c r="C68" i="15"/>
  <c r="P67" i="15"/>
  <c r="Q67" i="15"/>
  <c r="P66" i="15"/>
  <c r="Q66" i="15"/>
  <c r="D65" i="15"/>
  <c r="E65" i="15"/>
  <c r="C66" i="15"/>
  <c r="C67" i="15"/>
  <c r="C84" i="15" l="1"/>
  <c r="E83" i="15"/>
  <c r="D83" i="15"/>
  <c r="E68" i="15"/>
  <c r="D68" i="15"/>
  <c r="C69" i="15"/>
  <c r="D66" i="15"/>
  <c r="E66" i="15"/>
  <c r="D67" i="15"/>
  <c r="E67" i="15"/>
  <c r="E84" i="15" l="1"/>
  <c r="D84" i="15"/>
  <c r="C85" i="15"/>
  <c r="C70" i="15"/>
  <c r="E69" i="15"/>
  <c r="D69" i="15"/>
  <c r="E85" i="15" l="1"/>
  <c r="D85" i="15"/>
  <c r="C86" i="15"/>
  <c r="E70" i="15"/>
  <c r="D70" i="15"/>
  <c r="C71" i="15"/>
  <c r="C87" i="15" l="1"/>
  <c r="E86" i="15"/>
  <c r="D86" i="15"/>
  <c r="E71" i="15"/>
  <c r="D71" i="15"/>
  <c r="C72" i="15"/>
  <c r="C88" i="15" l="1"/>
  <c r="E87" i="15"/>
  <c r="D87" i="15"/>
  <c r="E72" i="15"/>
  <c r="D72" i="15"/>
  <c r="C73" i="15"/>
  <c r="E88" i="15" l="1"/>
  <c r="D88" i="15"/>
  <c r="C89" i="15"/>
  <c r="C74" i="15"/>
  <c r="E73" i="15"/>
  <c r="D73" i="15"/>
  <c r="E89" i="15" l="1"/>
  <c r="D89" i="15"/>
  <c r="C90" i="15"/>
  <c r="C75" i="15"/>
  <c r="E74" i="15"/>
  <c r="G8" i="15" s="1"/>
  <c r="D74" i="15"/>
  <c r="F8" i="15" s="1"/>
  <c r="C91" i="15" l="1"/>
  <c r="E90" i="15"/>
  <c r="D90" i="15"/>
  <c r="E75" i="15"/>
  <c r="D75" i="15"/>
  <c r="C76" i="15"/>
  <c r="C92" i="15" l="1"/>
  <c r="E91" i="15"/>
  <c r="D91" i="15"/>
  <c r="C77" i="15"/>
  <c r="E76" i="15"/>
  <c r="D76" i="15"/>
  <c r="E92" i="15" l="1"/>
  <c r="D92" i="15"/>
  <c r="C93" i="15"/>
  <c r="C78" i="15"/>
  <c r="E77" i="15"/>
  <c r="D77" i="15"/>
  <c r="E93" i="15" l="1"/>
  <c r="D93" i="15"/>
  <c r="C94" i="15"/>
  <c r="C79" i="15"/>
  <c r="E78" i="15"/>
  <c r="D78" i="15"/>
  <c r="C95" i="15" l="1"/>
  <c r="E94" i="15"/>
  <c r="D94" i="15"/>
  <c r="E79" i="15"/>
  <c r="D79" i="15"/>
  <c r="C80" i="15"/>
  <c r="C96" i="15" l="1"/>
  <c r="E95" i="15"/>
  <c r="D95" i="15"/>
  <c r="C81" i="15"/>
  <c r="E80" i="15"/>
  <c r="D80" i="15"/>
  <c r="E96" i="15" l="1"/>
  <c r="D96" i="15"/>
  <c r="C97" i="15"/>
  <c r="C82" i="15"/>
  <c r="D81" i="15"/>
  <c r="E81" i="15"/>
  <c r="E97" i="15" l="1"/>
  <c r="D97" i="15"/>
  <c r="C98" i="15"/>
  <c r="D82" i="15"/>
  <c r="E82" i="15"/>
  <c r="C99" i="15" l="1"/>
  <c r="E98" i="15"/>
  <c r="D98" i="15"/>
  <c r="C100" i="15" l="1"/>
  <c r="E99" i="15"/>
  <c r="D99" i="15"/>
  <c r="E100" i="15" l="1"/>
  <c r="D100" i="15"/>
  <c r="C101" i="15"/>
  <c r="E101" i="15" l="1"/>
  <c r="D101" i="15"/>
  <c r="C102" i="15"/>
  <c r="C103" i="15" l="1"/>
  <c r="E102" i="15"/>
  <c r="D102" i="15"/>
  <c r="C104" i="15" l="1"/>
  <c r="E103" i="15"/>
  <c r="D103" i="15"/>
  <c r="D104" i="15" l="1"/>
  <c r="E104" i="15"/>
  <c r="C105" i="15"/>
  <c r="C106" i="15" l="1"/>
  <c r="E105" i="15"/>
  <c r="D105" i="15"/>
  <c r="C107" i="15" l="1"/>
  <c r="E106" i="15"/>
  <c r="D106" i="15"/>
  <c r="E107" i="15" l="1"/>
  <c r="D107" i="15"/>
  <c r="C108" i="15"/>
  <c r="C109" i="15" l="1"/>
  <c r="D108" i="15"/>
  <c r="E108" i="15"/>
  <c r="C110" i="15" l="1"/>
  <c r="D109" i="15"/>
  <c r="E109" i="15"/>
  <c r="C111" i="15" l="1"/>
  <c r="D110" i="15"/>
  <c r="F7" i="15" s="1"/>
  <c r="E110" i="15"/>
  <c r="G7" i="15" s="1"/>
  <c r="C112" i="15" l="1"/>
  <c r="D111" i="15"/>
  <c r="E111" i="15"/>
  <c r="C113" i="15" l="1"/>
  <c r="D112" i="15"/>
  <c r="E112" i="15"/>
  <c r="C114" i="15" l="1"/>
  <c r="D113" i="15"/>
  <c r="E113" i="15"/>
  <c r="C115" i="15" l="1"/>
  <c r="D114" i="15"/>
  <c r="E114" i="15"/>
  <c r="C116" i="15" l="1"/>
  <c r="D115" i="15"/>
  <c r="E115" i="15"/>
  <c r="C117" i="15" l="1"/>
  <c r="D116" i="15"/>
  <c r="E116" i="15"/>
  <c r="C118" i="15" l="1"/>
  <c r="C119" i="15"/>
  <c r="D117" i="15"/>
  <c r="E117" i="15"/>
  <c r="D119" i="15" l="1"/>
  <c r="E119" i="15"/>
  <c r="D118" i="15"/>
  <c r="E118" i="15"/>
</calcChain>
</file>

<file path=xl/sharedStrings.xml><?xml version="1.0" encoding="utf-8"?>
<sst xmlns="http://schemas.openxmlformats.org/spreadsheetml/2006/main" count="496" uniqueCount="237">
  <si>
    <t>Tag</t>
  </si>
  <si>
    <t>(Grad)</t>
  </si>
  <si>
    <t>r</t>
  </si>
  <si>
    <t>Datum</t>
  </si>
  <si>
    <t>i</t>
  </si>
  <si>
    <t>Tages-</t>
  </si>
  <si>
    <t>Nr.</t>
  </si>
  <si>
    <t>l</t>
  </si>
  <si>
    <t>b</t>
  </si>
  <si>
    <t>in Grad</t>
  </si>
  <si>
    <t>x</t>
  </si>
  <si>
    <t>y</t>
  </si>
  <si>
    <t>Perigäum</t>
  </si>
  <si>
    <t>Apogäum</t>
  </si>
  <si>
    <r>
      <t>(10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km)</t>
    </r>
  </si>
  <si>
    <t>Tab. 2</t>
  </si>
  <si>
    <t>e</t>
  </si>
  <si>
    <t>Luna-</t>
  </si>
  <si>
    <t>tion</t>
  </si>
  <si>
    <t>zeit</t>
  </si>
  <si>
    <t>Tag-</t>
  </si>
  <si>
    <t>T</t>
  </si>
  <si>
    <t xml:space="preserve">Datum </t>
  </si>
  <si>
    <t>(°)</t>
  </si>
  <si>
    <t>im Perig.</t>
  </si>
  <si>
    <t>im Apog.</t>
  </si>
  <si>
    <t>Sonne</t>
  </si>
  <si>
    <t>Mond</t>
  </si>
  <si>
    <r>
      <t>l</t>
    </r>
    <r>
      <rPr>
        <sz val="10"/>
        <rFont val="Arial"/>
        <family val="2"/>
      </rPr>
      <t xml:space="preserve"> (°)</t>
    </r>
  </si>
  <si>
    <t>Mittel:</t>
  </si>
  <si>
    <t>Zeitpunkt</t>
  </si>
  <si>
    <t>drak.</t>
  </si>
  <si>
    <t>des Knoten-</t>
  </si>
  <si>
    <t>Monat</t>
  </si>
  <si>
    <t>durchgangs</t>
  </si>
  <si>
    <r>
      <t>(</t>
    </r>
    <r>
      <rPr>
        <i/>
        <sz val="10"/>
        <rFont val="Arial"/>
        <family val="2"/>
      </rPr>
      <t>d</t>
    </r>
    <r>
      <rPr>
        <sz val="10"/>
        <rFont val="Arial"/>
        <family val="2"/>
      </rPr>
      <t>)</t>
    </r>
  </si>
  <si>
    <r>
      <t xml:space="preserve"> (</t>
    </r>
    <r>
      <rPr>
        <i/>
        <sz val="9"/>
        <rFont val="Arial"/>
        <family val="2"/>
      </rPr>
      <t>d</t>
    </r>
    <r>
      <rPr>
        <sz val="9"/>
        <rFont val="Arial"/>
        <family val="2"/>
      </rPr>
      <t>)</t>
    </r>
  </si>
  <si>
    <t>Tage</t>
  </si>
  <si>
    <t>des Vorz.-</t>
  </si>
  <si>
    <t xml:space="preserve">wechsels </t>
  </si>
  <si>
    <r>
      <t>um 0</t>
    </r>
    <r>
      <rPr>
        <vertAlign val="superscript"/>
        <sz val="8"/>
        <rFont val="Arial"/>
        <family val="2"/>
      </rPr>
      <t>h</t>
    </r>
    <r>
      <rPr>
        <sz val="8"/>
        <rFont val="Arial"/>
        <family val="2"/>
      </rPr>
      <t xml:space="preserve"> UT</t>
    </r>
  </si>
  <si>
    <t>auf-</t>
  </si>
  <si>
    <t>steigend</t>
  </si>
  <si>
    <t>ab-</t>
  </si>
  <si>
    <r>
      <t>i</t>
    </r>
    <r>
      <rPr>
        <sz val="9"/>
        <rFont val="Arial"/>
        <family val="2"/>
      </rPr>
      <t xml:space="preserve"> (°)</t>
    </r>
    <r>
      <rPr>
        <sz val="8"/>
        <rFont val="Arial"/>
        <family val="2"/>
      </rPr>
      <t xml:space="preserve"> </t>
    </r>
  </si>
  <si>
    <t>abgelesen</t>
  </si>
  <si>
    <t>(willk. Einheiten)</t>
  </si>
  <si>
    <t>(AE)</t>
  </si>
  <si>
    <t>9.8.</t>
  </si>
  <si>
    <t>30.10.</t>
  </si>
  <si>
    <t>Knotenlinie</t>
  </si>
  <si>
    <t xml:space="preserve">(Richtungen) </t>
  </si>
  <si>
    <r>
      <rPr>
        <i/>
        <sz val="10"/>
        <rFont val="Times New Roman"/>
        <family val="1"/>
      </rPr>
      <t>l</t>
    </r>
    <r>
      <rPr>
        <i/>
        <vertAlign val="subscript"/>
        <sz val="10"/>
        <rFont val="Times New Roman"/>
        <family val="1"/>
      </rPr>
      <t>E</t>
    </r>
  </si>
  <si>
    <r>
      <rPr>
        <i/>
        <sz val="10"/>
        <rFont val="Symbol"/>
        <family val="1"/>
        <charset val="2"/>
      </rPr>
      <t>l</t>
    </r>
    <r>
      <rPr>
        <i/>
        <vertAlign val="subscript"/>
        <sz val="10"/>
        <rFont val="Times New Roman"/>
        <family val="1"/>
      </rPr>
      <t>S</t>
    </r>
  </si>
  <si>
    <r>
      <t>x</t>
    </r>
    <r>
      <rPr>
        <i/>
        <vertAlign val="subscript"/>
        <sz val="9"/>
        <rFont val="Arial"/>
        <family val="2"/>
      </rPr>
      <t>E</t>
    </r>
  </si>
  <si>
    <r>
      <t>y</t>
    </r>
    <r>
      <rPr>
        <i/>
        <vertAlign val="subscript"/>
        <sz val="9"/>
        <rFont val="Arial"/>
        <family val="2"/>
      </rPr>
      <t>E</t>
    </r>
  </si>
  <si>
    <r>
      <t>x</t>
    </r>
    <r>
      <rPr>
        <i/>
        <vertAlign val="subscript"/>
        <sz val="9"/>
        <rFont val="Arial"/>
        <family val="2"/>
      </rPr>
      <t>Kn</t>
    </r>
  </si>
  <si>
    <r>
      <t>y</t>
    </r>
    <r>
      <rPr>
        <i/>
        <vertAlign val="subscript"/>
        <sz val="9"/>
        <rFont val="Arial"/>
        <family val="2"/>
      </rPr>
      <t>Kn</t>
    </r>
  </si>
  <si>
    <t>Mond geozentrisch</t>
  </si>
  <si>
    <r>
      <t xml:space="preserve">Erde </t>
    </r>
    <r>
      <rPr>
        <b/>
        <sz val="8"/>
        <rFont val="Arial"/>
        <family val="2"/>
      </rPr>
      <t>heliozentrisch</t>
    </r>
  </si>
  <si>
    <t>Sonnenfinsternis</t>
  </si>
  <si>
    <t xml:space="preserve">177 d danach </t>
  </si>
  <si>
    <t>Erneut Sonnenfinsternis</t>
  </si>
  <si>
    <t>partielle Mondfinsternis</t>
  </si>
  <si>
    <t>Halbschattenfinstenis</t>
  </si>
  <si>
    <t>Nummer</t>
  </si>
  <si>
    <t>n</t>
  </si>
  <si>
    <r>
      <t>l</t>
    </r>
    <r>
      <rPr>
        <i/>
        <vertAlign val="subscript"/>
        <sz val="10"/>
        <rFont val="Times New Roman"/>
        <family val="1"/>
      </rPr>
      <t>n</t>
    </r>
    <r>
      <rPr>
        <sz val="10"/>
        <rFont val="Symbol"/>
        <family val="1"/>
        <charset val="2"/>
      </rPr>
      <t>, l</t>
    </r>
    <r>
      <rPr>
        <i/>
        <vertAlign val="subscript"/>
        <sz val="10"/>
        <rFont val="Cambria"/>
        <family val="1"/>
      </rPr>
      <t>n</t>
    </r>
    <r>
      <rPr>
        <vertAlign val="subscript"/>
        <sz val="10"/>
        <rFont val="Cambria"/>
        <family val="1"/>
      </rPr>
      <t>+1</t>
    </r>
  </si>
  <si>
    <r>
      <rPr>
        <i/>
        <sz val="10"/>
        <rFont val="Times New Roman"/>
        <family val="1"/>
      </rPr>
      <t>β</t>
    </r>
    <r>
      <rPr>
        <i/>
        <vertAlign val="subscript"/>
        <sz val="10"/>
        <rFont val="Times New Roman"/>
        <family val="1"/>
      </rPr>
      <t>n</t>
    </r>
    <r>
      <rPr>
        <i/>
        <sz val="10"/>
        <rFont val="Times New Roman"/>
        <family val="1"/>
      </rPr>
      <t>, β</t>
    </r>
    <r>
      <rPr>
        <i/>
        <vertAlign val="subscript"/>
        <sz val="10"/>
        <rFont val="Times New Roman"/>
        <family val="1"/>
      </rPr>
      <t>n+1</t>
    </r>
  </si>
  <si>
    <r>
      <rPr>
        <i/>
        <sz val="10"/>
        <rFont val="Times New Roman"/>
        <family val="1"/>
      </rPr>
      <t>λ</t>
    </r>
    <r>
      <rPr>
        <i/>
        <vertAlign val="subscript"/>
        <sz val="10"/>
        <rFont val="Arial"/>
        <family val="2"/>
      </rPr>
      <t>Kn</t>
    </r>
    <r>
      <rPr>
        <sz val="10"/>
        <rFont val="Arial"/>
        <family val="2"/>
      </rPr>
      <t xml:space="preserve"> in Grad</t>
    </r>
  </si>
  <si>
    <r>
      <t xml:space="preserve"> </t>
    </r>
    <r>
      <rPr>
        <i/>
        <sz val="8"/>
        <rFont val="Arial"/>
        <family val="2"/>
      </rPr>
      <t>i</t>
    </r>
    <r>
      <rPr>
        <sz val="8"/>
        <rFont val="Arial"/>
        <family val="2"/>
      </rPr>
      <t xml:space="preserve"> ist extrem am 9.8.</t>
    </r>
  </si>
  <si>
    <r>
      <t xml:space="preserve"> </t>
    </r>
    <r>
      <rPr>
        <i/>
        <sz val="8"/>
        <rFont val="Arial"/>
        <family val="2"/>
      </rPr>
      <t>i</t>
    </r>
    <r>
      <rPr>
        <sz val="8"/>
        <rFont val="Arial"/>
        <family val="2"/>
      </rPr>
      <t xml:space="preserve"> ist extrem am 30.10.</t>
    </r>
  </si>
  <si>
    <t>Wahrer Pol</t>
  </si>
  <si>
    <t>Mittlerer Pol</t>
  </si>
  <si>
    <r>
      <t>cos (λ</t>
    </r>
    <r>
      <rPr>
        <i/>
        <vertAlign val="subscript"/>
        <sz val="9"/>
        <rFont val="Arial"/>
        <family val="2"/>
      </rPr>
      <t>Kn</t>
    </r>
    <r>
      <rPr>
        <i/>
        <sz val="9"/>
        <rFont val="Arial"/>
        <family val="2"/>
      </rPr>
      <t>)</t>
    </r>
  </si>
  <si>
    <r>
      <t>sin(λ</t>
    </r>
    <r>
      <rPr>
        <i/>
        <vertAlign val="subscript"/>
        <sz val="9"/>
        <rFont val="Arial"/>
        <family val="2"/>
      </rPr>
      <t>Kn</t>
    </r>
    <r>
      <rPr>
        <i/>
        <sz val="9"/>
        <rFont val="Arial"/>
        <family val="2"/>
      </rPr>
      <t>)</t>
    </r>
  </si>
  <si>
    <t xml:space="preserve">Inklination </t>
  </si>
  <si>
    <t>i (°)</t>
  </si>
  <si>
    <t>Extreme</t>
  </si>
  <si>
    <t>α</t>
  </si>
  <si>
    <r>
      <t xml:space="preserve"> </t>
    </r>
    <r>
      <rPr>
        <i/>
        <sz val="8"/>
        <rFont val="Arial"/>
        <family val="2"/>
      </rPr>
      <t>i</t>
    </r>
    <r>
      <rPr>
        <sz val="8"/>
        <rFont val="Arial"/>
        <family val="2"/>
      </rPr>
      <t xml:space="preserve"> ist extrem am 20.1.</t>
    </r>
  </si>
  <si>
    <r>
      <t xml:space="preserve"> </t>
    </r>
    <r>
      <rPr>
        <i/>
        <sz val="8"/>
        <rFont val="Arial"/>
        <family val="2"/>
      </rPr>
      <t>i</t>
    </r>
    <r>
      <rPr>
        <sz val="8"/>
        <rFont val="Arial"/>
        <family val="2"/>
      </rPr>
      <t xml:space="preserve"> ist extrem am 25.4.</t>
    </r>
  </si>
  <si>
    <r>
      <t xml:space="preserve"> </t>
    </r>
    <r>
      <rPr>
        <i/>
        <sz val="8"/>
        <rFont val="Arial"/>
        <family val="2"/>
      </rPr>
      <t>i</t>
    </r>
    <r>
      <rPr>
        <sz val="8"/>
        <rFont val="Arial"/>
        <family val="2"/>
      </rPr>
      <t xml:space="preserve"> ist extrem am 19.7.</t>
    </r>
  </si>
  <si>
    <r>
      <t xml:space="preserve"> </t>
    </r>
    <r>
      <rPr>
        <i/>
        <sz val="8"/>
        <rFont val="Arial"/>
        <family val="2"/>
      </rPr>
      <t>i</t>
    </r>
    <r>
      <rPr>
        <sz val="8"/>
        <rFont val="Arial"/>
        <family val="2"/>
      </rPr>
      <t xml:space="preserve"> ist extrem am 18.10.</t>
    </r>
  </si>
  <si>
    <t>Kart. Koord.</t>
  </si>
  <si>
    <r>
      <rPr>
        <i/>
        <sz val="10"/>
        <rFont val="Arial"/>
        <family val="2"/>
      </rPr>
      <t>a</t>
    </r>
    <r>
      <rPr>
        <sz val="10"/>
        <rFont val="Arial"/>
        <family val="2"/>
      </rPr>
      <t xml:space="preserve"> =</t>
    </r>
  </si>
  <si>
    <r>
      <rPr>
        <i/>
        <sz val="10"/>
        <rFont val="Arial"/>
        <family val="2"/>
      </rPr>
      <t>e</t>
    </r>
    <r>
      <rPr>
        <sz val="10"/>
        <rFont val="Arial"/>
        <family val="2"/>
      </rPr>
      <t xml:space="preserve"> =</t>
    </r>
  </si>
  <si>
    <t>Perigäum 2</t>
  </si>
  <si>
    <t>mittleres</t>
  </si>
  <si>
    <t>Perigäum 1</t>
  </si>
  <si>
    <t>Apogäum 1</t>
  </si>
  <si>
    <t>Apogäum 2</t>
  </si>
  <si>
    <t>Apsidenlinien</t>
  </si>
  <si>
    <r>
      <t>r</t>
    </r>
    <r>
      <rPr>
        <vertAlign val="subscript"/>
        <sz val="11"/>
        <rFont val="Arial"/>
        <family val="2"/>
      </rPr>
      <t xml:space="preserve">min </t>
    </r>
  </si>
  <si>
    <r>
      <t>r</t>
    </r>
    <r>
      <rPr>
        <vertAlign val="subscript"/>
        <sz val="11"/>
        <rFont val="Arial"/>
        <family val="2"/>
      </rPr>
      <t xml:space="preserve">max </t>
    </r>
  </si>
  <si>
    <t>Ungestörte Keplerbahn</t>
  </si>
  <si>
    <t xml:space="preserve">Apog.1 </t>
  </si>
  <si>
    <t>Perig. 1</t>
  </si>
  <si>
    <t>Apog. 2</t>
  </si>
  <si>
    <t>Perig. 2</t>
  </si>
  <si>
    <t>Pol der Ekliptik:</t>
  </si>
  <si>
    <t>Mittelwert der Neigungen</t>
  </si>
  <si>
    <t>(14.2.08 bis 19.1.09):</t>
  </si>
  <si>
    <r>
      <t>Δ</t>
    </r>
    <r>
      <rPr>
        <sz val="9"/>
        <rFont val="Times New Roman"/>
        <family val="1"/>
      </rPr>
      <t>λ/</t>
    </r>
    <r>
      <rPr>
        <sz val="9"/>
        <rFont val="Arial"/>
        <family val="2"/>
      </rPr>
      <t>Δt</t>
    </r>
  </si>
  <si>
    <t>(° / d)</t>
  </si>
  <si>
    <r>
      <t xml:space="preserve"> </t>
    </r>
    <r>
      <rPr>
        <i/>
        <sz val="10"/>
        <rFont val="Arial"/>
        <family val="2"/>
      </rPr>
      <t>β</t>
    </r>
    <r>
      <rPr>
        <sz val="10"/>
        <rFont val="Arial"/>
        <family val="2"/>
      </rPr>
      <t xml:space="preserve"> (°)</t>
    </r>
  </si>
  <si>
    <t>Erde</t>
  </si>
  <si>
    <t>Anzahl Tage Minimum 14.2. bis Min. 7.9.:</t>
  </si>
  <si>
    <t>Apsiden</t>
  </si>
  <si>
    <t xml:space="preserve">in km     </t>
  </si>
  <si>
    <t>19.5.</t>
  </si>
  <si>
    <r>
      <t xml:space="preserve"> </t>
    </r>
    <r>
      <rPr>
        <i/>
        <sz val="8"/>
        <rFont val="Arial"/>
        <family val="2"/>
      </rPr>
      <t>i</t>
    </r>
    <r>
      <rPr>
        <sz val="8"/>
        <rFont val="Arial"/>
        <family val="2"/>
      </rPr>
      <t xml:space="preserve"> ist extrem am 19.5.</t>
    </r>
  </si>
  <si>
    <t>14.2.</t>
  </si>
  <si>
    <t>177 d danach :</t>
  </si>
  <si>
    <t>Inklination</t>
  </si>
  <si>
    <r>
      <t xml:space="preserve"> </t>
    </r>
    <r>
      <rPr>
        <i/>
        <sz val="8"/>
        <rFont val="Arial"/>
        <family val="2"/>
      </rPr>
      <t>i</t>
    </r>
    <r>
      <rPr>
        <sz val="8"/>
        <rFont val="Arial"/>
        <family val="2"/>
      </rPr>
      <t xml:space="preserve"> ist extrem am 14.2.</t>
    </r>
  </si>
  <si>
    <t>Umlauf-</t>
  </si>
  <si>
    <t>drakon.</t>
  </si>
  <si>
    <t>Anz. Tage Maximum 20.5. bis Max. 12.12.:</t>
  </si>
  <si>
    <t xml:space="preserve">Exzentrizitätsmittel 14.2. bis 7.9.: </t>
  </si>
  <si>
    <t xml:space="preserve"> 20.05. bis 12.12.: </t>
  </si>
  <si>
    <t>in Diagr. 1</t>
  </si>
  <si>
    <r>
      <t xml:space="preserve">von </t>
    </r>
    <r>
      <rPr>
        <i/>
        <sz val="10"/>
        <rFont val="Symbol"/>
        <family val="1"/>
        <charset val="2"/>
      </rPr>
      <t>b</t>
    </r>
  </si>
  <si>
    <r>
      <t>von</t>
    </r>
    <r>
      <rPr>
        <i/>
        <sz val="10"/>
        <rFont val="Arial"/>
        <family val="2"/>
      </rPr>
      <t xml:space="preserve"> </t>
    </r>
    <r>
      <rPr>
        <i/>
        <sz val="10"/>
        <rFont val="Symbol"/>
        <family val="1"/>
        <charset val="2"/>
      </rPr>
      <t>b</t>
    </r>
  </si>
  <si>
    <t>rot: intrapoliert</t>
  </si>
  <si>
    <r>
      <t>Tabelle 5</t>
    </r>
    <r>
      <rPr>
        <b/>
        <sz val="11"/>
        <rFont val="Arial"/>
        <family val="2"/>
      </rPr>
      <t xml:space="preserve">    Mondbahn Januar 2002 und Januar 2003</t>
    </r>
  </si>
  <si>
    <t xml:space="preserve">Apog. 0 </t>
  </si>
  <si>
    <t>Perig. 0</t>
  </si>
  <si>
    <t xml:space="preserve">Apog. 1 </t>
  </si>
  <si>
    <r>
      <t>β</t>
    </r>
    <r>
      <rPr>
        <i/>
        <vertAlign val="subscript"/>
        <sz val="10"/>
        <rFont val="Times New Roman"/>
        <family val="1"/>
      </rPr>
      <t>n</t>
    </r>
    <r>
      <rPr>
        <i/>
        <sz val="10"/>
        <rFont val="Times New Roman"/>
        <family val="1"/>
      </rPr>
      <t>, β</t>
    </r>
    <r>
      <rPr>
        <i/>
        <vertAlign val="subscript"/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+1</t>
    </r>
  </si>
  <si>
    <t>Mittel in Diagr. 3e:</t>
  </si>
  <si>
    <t>Linien Sonne-Erde in Diagr. 3c:</t>
  </si>
  <si>
    <t>a</t>
  </si>
  <si>
    <t>in km</t>
  </si>
  <si>
    <t>Breitenkreise in Diagr. 2d</t>
  </si>
  <si>
    <t xml:space="preserve">Mittl. Pol </t>
  </si>
  <si>
    <t>F ü r    D i a g r a m m   2 d</t>
  </si>
  <si>
    <t>Srahlen Sonne - Erde in Diagr. 2a</t>
  </si>
  <si>
    <t xml:space="preserve">       (für Diagramm 2d)</t>
  </si>
  <si>
    <r>
      <t>Tabelle  4</t>
    </r>
    <r>
      <rPr>
        <b/>
        <sz val="11"/>
        <rFont val="Arial"/>
        <family val="2"/>
      </rPr>
      <t xml:space="preserve">     Exzentrizität der Mondbahn und Apsidendurchgänge 2008</t>
    </r>
  </si>
  <si>
    <r>
      <t>Tabelle 1</t>
    </r>
    <r>
      <rPr>
        <b/>
        <sz val="11"/>
        <rFont val="Arial"/>
        <family val="2"/>
      </rPr>
      <t xml:space="preserve">   Inklination der Mondbahn</t>
    </r>
  </si>
  <si>
    <r>
      <t xml:space="preserve">Ekliptikdurchgänge des Mondes </t>
    </r>
    <r>
      <rPr>
        <b/>
        <sz val="11"/>
        <color rgb="FFC00000"/>
        <rFont val="Arial"/>
        <family val="2"/>
      </rPr>
      <t>2009</t>
    </r>
  </si>
  <si>
    <t>2 0 0 9</t>
  </si>
  <si>
    <t>2 0 0 8</t>
  </si>
  <si>
    <r>
      <t xml:space="preserve"> </t>
    </r>
    <r>
      <rPr>
        <b/>
        <u/>
        <sz val="12"/>
        <rFont val="Arial"/>
        <family val="2"/>
      </rPr>
      <t>Tabelle 2</t>
    </r>
    <r>
      <rPr>
        <b/>
        <sz val="11"/>
        <rFont val="Arial"/>
        <family val="2"/>
      </rPr>
      <t xml:space="preserve">  Knotendurchgänge des Mondes 2008</t>
    </r>
  </si>
  <si>
    <t>anom.</t>
  </si>
  <si>
    <t>20.05.-12.12.</t>
  </si>
  <si>
    <t>14.02.-7.09.</t>
  </si>
  <si>
    <t>d</t>
  </si>
  <si>
    <t>Tagesnr.</t>
  </si>
  <si>
    <t>des</t>
  </si>
  <si>
    <t>Knoten-</t>
  </si>
  <si>
    <t>rot: eingepasst</t>
  </si>
  <si>
    <t>14.02. bis 9.08.:</t>
  </si>
  <si>
    <t>Linie Mittelwert</t>
  </si>
  <si>
    <t>ergänzte Werte</t>
  </si>
  <si>
    <r>
      <t>l</t>
    </r>
    <r>
      <rPr>
        <vertAlign val="subscript"/>
        <sz val="10"/>
        <rFont val="Arial"/>
        <family val="2"/>
      </rPr>
      <t xml:space="preserve">S </t>
    </r>
    <r>
      <rPr>
        <sz val="10"/>
        <rFont val="Arial"/>
        <family val="2"/>
      </rPr>
      <t>(°)</t>
    </r>
  </si>
  <si>
    <r>
      <t>l</t>
    </r>
    <r>
      <rPr>
        <i/>
        <vertAlign val="subscript"/>
        <sz val="10"/>
        <rFont val="Arial"/>
        <family val="2"/>
      </rPr>
      <t xml:space="preserve">E </t>
    </r>
    <r>
      <rPr>
        <sz val="10"/>
        <rFont val="Arial"/>
        <family val="2"/>
      </rPr>
      <t>(°)</t>
    </r>
  </si>
  <si>
    <r>
      <t>x</t>
    </r>
    <r>
      <rPr>
        <i/>
        <vertAlign val="subscript"/>
        <sz val="10"/>
        <rFont val="Times New Roman"/>
        <family val="1"/>
      </rPr>
      <t>E</t>
    </r>
  </si>
  <si>
    <r>
      <t>y</t>
    </r>
    <r>
      <rPr>
        <i/>
        <vertAlign val="subscript"/>
        <sz val="10"/>
        <rFont val="Times New Roman"/>
        <family val="1"/>
      </rPr>
      <t>E</t>
    </r>
  </si>
  <si>
    <t>Länge</t>
  </si>
  <si>
    <t xml:space="preserve">wahre Apsiden Mond </t>
  </si>
  <si>
    <r>
      <t xml:space="preserve"> </t>
    </r>
    <r>
      <rPr>
        <sz val="9"/>
        <rFont val="Symbol"/>
        <family val="1"/>
        <charset val="2"/>
      </rPr>
      <t>l</t>
    </r>
    <r>
      <rPr>
        <sz val="9"/>
        <rFont val="Arial"/>
        <family val="2"/>
      </rPr>
      <t xml:space="preserve"> (°) angepasst</t>
    </r>
  </si>
  <si>
    <r>
      <t>0</t>
    </r>
    <r>
      <rPr>
        <vertAlign val="superscript"/>
        <sz val="9"/>
        <rFont val="Arial"/>
        <family val="2"/>
      </rPr>
      <t xml:space="preserve">h </t>
    </r>
    <r>
      <rPr>
        <sz val="9"/>
        <rFont val="Arial"/>
        <family val="2"/>
      </rPr>
      <t>UT</t>
    </r>
  </si>
  <si>
    <t>(UT)</t>
  </si>
  <si>
    <t>Uhrzeit</t>
  </si>
  <si>
    <t>Erdbahn</t>
  </si>
  <si>
    <t>(Projektion in die Ekliptik)</t>
  </si>
  <si>
    <t>(für Diagr. 3c u. 3e)</t>
  </si>
  <si>
    <t>(für D.</t>
  </si>
  <si>
    <t>2c)</t>
  </si>
  <si>
    <t>(für D. 2c)</t>
  </si>
  <si>
    <t>φ</t>
  </si>
  <si>
    <r>
      <t>*</t>
    </r>
    <r>
      <rPr>
        <sz val="12"/>
        <rFont val="Calibri"/>
        <family val="2"/>
      </rPr>
      <t>⁾</t>
    </r>
  </si>
  <si>
    <r>
      <rPr>
        <sz val="10"/>
        <rFont val="Arial"/>
        <family val="2"/>
      </rPr>
      <t>*)</t>
    </r>
    <r>
      <rPr>
        <sz val="9"/>
        <rFont val="Arial"/>
        <family val="2"/>
      </rPr>
      <t>: intrapoliert</t>
    </r>
  </si>
  <si>
    <t>Anomalistischer Monat:</t>
  </si>
  <si>
    <t xml:space="preserve">    (sieheText)</t>
  </si>
  <si>
    <t>I3 bis I66</t>
  </si>
  <si>
    <t>Ungestörte Keplerbahn:</t>
  </si>
  <si>
    <r>
      <rPr>
        <b/>
        <i/>
        <sz val="10"/>
        <rFont val="Arial"/>
        <family val="2"/>
      </rPr>
      <t>r = a*</t>
    </r>
    <r>
      <rPr>
        <b/>
        <sz val="10"/>
        <rFont val="Arial"/>
        <family val="2"/>
      </rPr>
      <t>(1-</t>
    </r>
    <r>
      <rPr>
        <b/>
        <i/>
        <sz val="10"/>
        <rFont val="Arial"/>
        <family val="2"/>
      </rPr>
      <t>e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 / (1+</t>
    </r>
    <r>
      <rPr>
        <b/>
        <i/>
        <sz val="10"/>
        <rFont val="Arial"/>
        <family val="2"/>
      </rPr>
      <t>e*</t>
    </r>
    <r>
      <rPr>
        <b/>
        <sz val="10"/>
        <rFont val="Arial"/>
        <family val="2"/>
      </rPr>
      <t>cos(</t>
    </r>
    <r>
      <rPr>
        <b/>
        <i/>
        <sz val="10"/>
        <rFont val="Arial"/>
        <family val="2"/>
      </rPr>
      <t>φ</t>
    </r>
    <r>
      <rPr>
        <b/>
        <sz val="10"/>
        <rFont val="Arial"/>
        <family val="2"/>
      </rPr>
      <t>))</t>
    </r>
  </si>
  <si>
    <t>Gestörte Bahn:</t>
  </si>
  <si>
    <t>Alle Mondfinsternisse 1980 bis 2000</t>
  </si>
  <si>
    <t>Alle Sonnenfinsternisse 1980 bis 2000</t>
  </si>
  <si>
    <t>total</t>
  </si>
  <si>
    <t>partiell</t>
  </si>
  <si>
    <t>ringförmig</t>
  </si>
  <si>
    <t>Quelle: Meyers Handbuch Weltall, 6. Aufl.</t>
  </si>
  <si>
    <t>Markierungen in Diagr. 3d</t>
  </si>
  <si>
    <t>Markierungen in Diagr. 2b</t>
  </si>
  <si>
    <t>Doppelpfeil in Diagr.1</t>
  </si>
  <si>
    <t>Richtung Frühlingspunkt in Diagr. 2a</t>
  </si>
  <si>
    <t>Richtung Frühlingspunkt</t>
  </si>
  <si>
    <t xml:space="preserve">in  Diagramm 3e </t>
  </si>
  <si>
    <t>in  Diagramm  3c</t>
  </si>
  <si>
    <r>
      <rPr>
        <b/>
        <u/>
        <sz val="11"/>
        <rFont val="Arial"/>
        <family val="2"/>
      </rPr>
      <t>Tabelle I</t>
    </r>
    <r>
      <rPr>
        <b/>
        <sz val="11"/>
        <rFont val="Arial"/>
        <family val="2"/>
      </rPr>
      <t xml:space="preserve">  Die Vektoren der Störbeschleunigung</t>
    </r>
  </si>
  <si>
    <r>
      <rPr>
        <i/>
        <sz val="9"/>
        <rFont val="Arial"/>
        <family val="2"/>
      </rPr>
      <t>m</t>
    </r>
    <r>
      <rPr>
        <i/>
        <vertAlign val="subscript"/>
        <sz val="9"/>
        <rFont val="Arial"/>
        <family val="2"/>
      </rPr>
      <t>M</t>
    </r>
  </si>
  <si>
    <t>=</t>
  </si>
  <si>
    <r>
      <t>kg,        r</t>
    </r>
    <r>
      <rPr>
        <i/>
        <vertAlign val="subscript"/>
        <sz val="9"/>
        <rFont val="Arial"/>
        <family val="2"/>
      </rPr>
      <t>M</t>
    </r>
    <r>
      <rPr>
        <i/>
        <sz val="9"/>
        <rFont val="Arial"/>
        <family val="2"/>
      </rPr>
      <t xml:space="preserve"> =</t>
    </r>
  </si>
  <si>
    <r>
      <t>m,</t>
    </r>
    <r>
      <rPr>
        <i/>
        <sz val="9"/>
        <rFont val="Arial"/>
        <family val="2"/>
      </rPr>
      <t xml:space="preserve">           G = </t>
    </r>
  </si>
  <si>
    <r>
      <t>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/(kg s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</si>
  <si>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>m</t>
    </r>
    <r>
      <rPr>
        <i/>
        <vertAlign val="subscript"/>
        <sz val="9"/>
        <rFont val="Arial"/>
        <family val="2"/>
      </rPr>
      <t>S</t>
    </r>
  </si>
  <si>
    <r>
      <t>kg,        r</t>
    </r>
    <r>
      <rPr>
        <i/>
        <vertAlign val="subscript"/>
        <sz val="9"/>
        <rFont val="Arial"/>
        <family val="2"/>
      </rPr>
      <t>S</t>
    </r>
    <r>
      <rPr>
        <i/>
        <sz val="9"/>
        <rFont val="Arial"/>
        <family val="2"/>
      </rPr>
      <t xml:space="preserve"> =</t>
    </r>
  </si>
  <si>
    <r>
      <t>m/s</t>
    </r>
    <r>
      <rPr>
        <vertAlign val="superscript"/>
        <sz val="10"/>
        <rFont val="Arial"/>
        <family val="2"/>
      </rPr>
      <t>2</t>
    </r>
  </si>
  <si>
    <t>ϑ</t>
  </si>
  <si>
    <r>
      <t>x</t>
    </r>
    <r>
      <rPr>
        <i/>
        <vertAlign val="subscript"/>
        <sz val="10"/>
        <rFont val="Arial"/>
        <family val="2"/>
      </rPr>
      <t>M</t>
    </r>
    <r>
      <rPr>
        <sz val="10"/>
        <rFont val="Arial"/>
        <family val="2"/>
      </rPr>
      <t xml:space="preserve"> </t>
    </r>
  </si>
  <si>
    <r>
      <t>y</t>
    </r>
    <r>
      <rPr>
        <i/>
        <vertAlign val="subscript"/>
        <sz val="10"/>
        <rFont val="Arial"/>
        <family val="2"/>
      </rPr>
      <t>M</t>
    </r>
    <r>
      <rPr>
        <sz val="10"/>
        <rFont val="Arial"/>
        <family val="2"/>
      </rPr>
      <t xml:space="preserve"> </t>
    </r>
  </si>
  <si>
    <r>
      <t>a</t>
    </r>
    <r>
      <rPr>
        <i/>
        <vertAlign val="subscript"/>
        <sz val="10"/>
        <rFont val="Arial"/>
        <family val="2"/>
      </rPr>
      <t>x</t>
    </r>
    <r>
      <rPr>
        <sz val="10"/>
        <rFont val="Arial"/>
        <family val="2"/>
      </rPr>
      <t xml:space="preserve"> (m/s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</si>
  <si>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a</t>
    </r>
    <r>
      <rPr>
        <i/>
        <vertAlign val="subscript"/>
        <sz val="10"/>
        <rFont val="Arial"/>
        <family val="2"/>
      </rPr>
      <t>y</t>
    </r>
    <r>
      <rPr>
        <sz val="10"/>
        <rFont val="Arial"/>
        <family val="2"/>
      </rPr>
      <t xml:space="preserve"> (m/s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</si>
  <si>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Knotenpunkte</t>
  </si>
  <si>
    <t>Schwer-</t>
  </si>
  <si>
    <t>punkt</t>
  </si>
  <si>
    <r>
      <t>a</t>
    </r>
    <r>
      <rPr>
        <i/>
        <vertAlign val="subscript"/>
        <sz val="10"/>
        <rFont val="Arial"/>
        <family val="2"/>
      </rPr>
      <t>x</t>
    </r>
    <r>
      <rPr>
        <sz val="10"/>
        <rFont val="Arial"/>
        <family val="2"/>
      </rPr>
      <t>*150000</t>
    </r>
  </si>
  <si>
    <r>
      <t>a</t>
    </r>
    <r>
      <rPr>
        <i/>
        <vertAlign val="subscript"/>
        <sz val="10"/>
        <rFont val="Arial"/>
        <family val="2"/>
      </rPr>
      <t>y</t>
    </r>
    <r>
      <rPr>
        <sz val="10"/>
        <rFont val="Arial"/>
        <family val="2"/>
      </rPr>
      <t>*150000</t>
    </r>
  </si>
  <si>
    <r>
      <t xml:space="preserve">Rosettenbahn, </t>
    </r>
    <r>
      <rPr>
        <b/>
        <i/>
        <sz val="11"/>
        <rFont val="Arial"/>
        <family val="2"/>
      </rPr>
      <t>f</t>
    </r>
    <r>
      <rPr>
        <b/>
        <sz val="10"/>
        <rFont val="Arial"/>
        <family val="2"/>
      </rPr>
      <t xml:space="preserve"> &lt; 1 </t>
    </r>
    <r>
      <rPr>
        <b/>
        <sz val="10"/>
        <color rgb="FFC00000"/>
        <rFont val="Arial"/>
        <family val="2"/>
      </rPr>
      <t>(B pos.)</t>
    </r>
  </si>
  <si>
    <r>
      <t xml:space="preserve">Rosettenbahn, </t>
    </r>
    <r>
      <rPr>
        <b/>
        <i/>
        <sz val="11"/>
        <rFont val="Arial"/>
        <family val="2"/>
      </rPr>
      <t>f</t>
    </r>
    <r>
      <rPr>
        <b/>
        <sz val="11"/>
        <rFont val="Arial"/>
        <family val="2"/>
      </rPr>
      <t xml:space="preserve"> </t>
    </r>
    <r>
      <rPr>
        <b/>
        <sz val="10"/>
        <rFont val="Arial"/>
        <family val="2"/>
      </rPr>
      <t xml:space="preserve">&gt; 1 </t>
    </r>
    <r>
      <rPr>
        <b/>
        <sz val="10"/>
        <color rgb="FFC00000"/>
        <rFont val="Arial"/>
        <family val="2"/>
      </rPr>
      <t>(B neg.)</t>
    </r>
  </si>
  <si>
    <r>
      <t>m,       a</t>
    </r>
    <r>
      <rPr>
        <i/>
        <vertAlign val="subscript"/>
        <sz val="10"/>
        <rFont val="Arial"/>
        <family val="2"/>
      </rPr>
      <t>0</t>
    </r>
    <r>
      <rPr>
        <i/>
        <sz val="10"/>
        <rFont val="Arial"/>
        <family val="2"/>
      </rPr>
      <t xml:space="preserve"> =</t>
    </r>
  </si>
  <si>
    <r>
      <rPr>
        <i/>
        <sz val="10"/>
        <rFont val="Arial"/>
        <family val="2"/>
      </rPr>
      <t>f</t>
    </r>
    <r>
      <rPr>
        <sz val="10"/>
        <rFont val="Arial"/>
        <family val="2"/>
      </rPr>
      <t xml:space="preserve"> =</t>
    </r>
  </si>
  <si>
    <r>
      <rPr>
        <b/>
        <i/>
        <sz val="10"/>
        <rFont val="Arial"/>
        <family val="2"/>
      </rPr>
      <t>r = a*</t>
    </r>
    <r>
      <rPr>
        <b/>
        <sz val="10"/>
        <rFont val="Arial"/>
        <family val="2"/>
      </rPr>
      <t>(1-</t>
    </r>
    <r>
      <rPr>
        <b/>
        <i/>
        <sz val="10"/>
        <rFont val="Arial"/>
        <family val="2"/>
      </rPr>
      <t>e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 / (1+</t>
    </r>
    <r>
      <rPr>
        <b/>
        <i/>
        <sz val="10"/>
        <rFont val="Arial"/>
        <family val="2"/>
      </rPr>
      <t>e*</t>
    </r>
    <r>
      <rPr>
        <b/>
        <sz val="10"/>
        <rFont val="Arial"/>
        <family val="2"/>
      </rPr>
      <t>cos(</t>
    </r>
    <r>
      <rPr>
        <b/>
        <i/>
        <sz val="10"/>
        <rFont val="Calibri"/>
        <family val="2"/>
      </rPr>
      <t>f</t>
    </r>
    <r>
      <rPr>
        <b/>
        <i/>
        <sz val="10"/>
        <rFont val="Arial"/>
        <family val="2"/>
      </rPr>
      <t>*φ</t>
    </r>
    <r>
      <rPr>
        <b/>
        <sz val="10"/>
        <rFont val="Arial"/>
        <family val="2"/>
      </rPr>
      <t>))</t>
    </r>
  </si>
  <si>
    <t>Pfeile</t>
  </si>
  <si>
    <r>
      <t>y + a</t>
    </r>
    <r>
      <rPr>
        <i/>
        <vertAlign val="subscript"/>
        <sz val="10"/>
        <rFont val="Arial"/>
        <family val="2"/>
      </rPr>
      <t>y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</si>
  <si>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(</t>
    </r>
    <r>
      <rPr>
        <i/>
        <sz val="10"/>
        <rFont val="Arial"/>
        <family val="2"/>
      </rPr>
      <t>x + a</t>
    </r>
    <r>
      <rPr>
        <i/>
        <vertAlign val="subscript"/>
        <sz val="10"/>
        <rFont val="Arial"/>
        <family val="2"/>
      </rPr>
      <t>x</t>
    </r>
    <r>
      <rPr>
        <i/>
        <sz val="10"/>
        <rFont val="Arial"/>
        <family val="2"/>
      </rPr>
      <t>,</t>
    </r>
  </si>
  <si>
    <t>Pfeilspitzen:</t>
  </si>
  <si>
    <t>für das Zeichnen der Pfeile in Diagramm I</t>
  </si>
  <si>
    <r>
      <rPr>
        <b/>
        <u/>
        <sz val="11"/>
        <rFont val="Arial"/>
        <family val="2"/>
      </rPr>
      <t>Tabelle I</t>
    </r>
    <r>
      <rPr>
        <b/>
        <sz val="11"/>
        <rFont val="Arial"/>
        <family val="2"/>
      </rPr>
      <t xml:space="preserve">  Die Vektoren der Störbeschleunigung </t>
    </r>
  </si>
  <si>
    <t>Diagramm I</t>
  </si>
  <si>
    <t>Quelle: Meyers Handbuch Weltall, B.I. Wissenschaftsverlag, Mannheim / Wien / Zürich 1984</t>
  </si>
  <si>
    <t>C3 bis C130</t>
  </si>
  <si>
    <t>Neumond</t>
  </si>
  <si>
    <t>Voll, Apog.</t>
  </si>
  <si>
    <t>Perig.</t>
  </si>
  <si>
    <t>(km)</t>
  </si>
  <si>
    <t>letzt. Viert.</t>
  </si>
  <si>
    <t>Apog., 1. V.</t>
  </si>
  <si>
    <t xml:space="preserve">Tabelle z    Mondbahn Sept. 2008 </t>
  </si>
  <si>
    <r>
      <t>Tabelle 6</t>
    </r>
    <r>
      <rPr>
        <b/>
        <sz val="11"/>
        <rFont val="Arial"/>
        <family val="2"/>
      </rPr>
      <t xml:space="preserve">   Mondbahn Mai  2008 </t>
    </r>
  </si>
  <si>
    <t>55°-Linie</t>
  </si>
  <si>
    <r>
      <t>Tabelle  4</t>
    </r>
    <r>
      <rPr>
        <b/>
        <sz val="12"/>
        <rFont val="Arial"/>
        <family val="2"/>
      </rPr>
      <t xml:space="preserve">    Exzentrizität der Mondbahn und Apsidendurchgänge 2008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</si>
</sst>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"/>
    <numFmt numFmtId="165" formatCode="0.000"/>
    <numFmt numFmtId="166" formatCode="0.00000"/>
    <numFmt numFmtId="167" formatCode="0.0E+00"/>
    <numFmt numFmtId="168" formatCode="d/m/yy"/>
    <numFmt numFmtId="169" formatCode="dd/mm/yy;@"/>
    <numFmt numFmtId="170" formatCode="0.0000000"/>
    <numFmt numFmtId="171" formatCode="d/m;@"/>
    <numFmt numFmtId="172" formatCode="0.000E+00"/>
  </numFmts>
  <fonts count="6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name val="Symbol"/>
      <family val="1"/>
      <charset val="2"/>
    </font>
    <font>
      <i/>
      <sz val="11"/>
      <name val="Symbol"/>
      <family val="1"/>
      <charset val="2"/>
    </font>
    <font>
      <i/>
      <sz val="10"/>
      <name val="Symbol"/>
      <family val="1"/>
      <charset val="2"/>
    </font>
    <font>
      <sz val="10"/>
      <color indexed="57"/>
      <name val="Arial"/>
      <family val="2"/>
    </font>
    <font>
      <vertAlign val="superscript"/>
      <sz val="8"/>
      <name val="Arial"/>
      <family val="2"/>
    </font>
    <font>
      <sz val="7"/>
      <name val="Arial"/>
      <family val="2"/>
    </font>
    <font>
      <vertAlign val="subscript"/>
      <sz val="10"/>
      <name val="Arial"/>
      <family val="2"/>
    </font>
    <font>
      <sz val="8"/>
      <name val="Symbol"/>
      <family val="1"/>
      <charset val="2"/>
    </font>
    <font>
      <sz val="8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i/>
      <sz val="11"/>
      <name val="Times New Roman"/>
      <family val="1"/>
    </font>
    <font>
      <sz val="11"/>
      <name val="Times New Roman"/>
      <family val="1"/>
    </font>
    <font>
      <sz val="10"/>
      <color indexed="10"/>
      <name val="Arial"/>
      <family val="2"/>
    </font>
    <font>
      <u/>
      <sz val="10"/>
      <name val="Arial"/>
      <family val="2"/>
    </font>
    <font>
      <i/>
      <sz val="10"/>
      <name val="Times New Roman"/>
      <family val="1"/>
    </font>
    <font>
      <i/>
      <vertAlign val="subscript"/>
      <sz val="10"/>
      <name val="Times New Roman"/>
      <family val="1"/>
    </font>
    <font>
      <i/>
      <vertAlign val="subscript"/>
      <sz val="9"/>
      <name val="Arial"/>
      <family val="2"/>
    </font>
    <font>
      <sz val="8"/>
      <color rgb="FFC00000"/>
      <name val="Arial"/>
      <family val="2"/>
    </font>
    <font>
      <i/>
      <sz val="8"/>
      <name val="Arial"/>
      <family val="2"/>
    </font>
    <font>
      <vertAlign val="subscript"/>
      <sz val="10"/>
      <name val="Cambria"/>
      <family val="1"/>
    </font>
    <font>
      <i/>
      <vertAlign val="subscript"/>
      <sz val="10"/>
      <name val="Cambria"/>
      <family val="1"/>
    </font>
    <font>
      <i/>
      <vertAlign val="subscript"/>
      <sz val="10"/>
      <name val="Arial"/>
      <family val="2"/>
    </font>
    <font>
      <sz val="10"/>
      <name val="Times New Roman"/>
      <family val="1"/>
    </font>
    <font>
      <sz val="10"/>
      <name val="Calibri"/>
      <family val="2"/>
    </font>
    <font>
      <b/>
      <vertAlign val="superscript"/>
      <sz val="10"/>
      <name val="Arial"/>
      <family val="2"/>
    </font>
    <font>
      <b/>
      <i/>
      <sz val="10"/>
      <name val="Calibri"/>
      <family val="2"/>
    </font>
    <font>
      <sz val="8"/>
      <color indexed="10"/>
      <name val="Arial"/>
      <family val="2"/>
    </font>
    <font>
      <vertAlign val="subscript"/>
      <sz val="11"/>
      <name val="Arial"/>
      <family val="2"/>
    </font>
    <font>
      <sz val="9"/>
      <name val="Symbol"/>
      <family val="1"/>
      <charset val="2"/>
    </font>
    <font>
      <sz val="8"/>
      <color rgb="FFFF0000"/>
      <name val="Arial"/>
      <family val="2"/>
    </font>
    <font>
      <sz val="9"/>
      <name val="Times New Roman"/>
      <family val="1"/>
    </font>
    <font>
      <b/>
      <sz val="9"/>
      <color rgb="FFC0000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vertAlign val="subscript"/>
      <sz val="10"/>
      <name val="Times New Roman"/>
      <family val="1"/>
    </font>
    <font>
      <b/>
      <i/>
      <sz val="12"/>
      <name val="Times New Roman"/>
      <family val="1"/>
    </font>
    <font>
      <b/>
      <sz val="11"/>
      <color rgb="FFC00000"/>
      <name val="Arial"/>
      <family val="2"/>
    </font>
    <font>
      <b/>
      <i/>
      <sz val="14"/>
      <name val="Times New Roman"/>
      <family val="1"/>
    </font>
    <font>
      <b/>
      <sz val="10"/>
      <color rgb="FFFF0000"/>
      <name val="Arial"/>
      <family val="2"/>
    </font>
    <font>
      <b/>
      <i/>
      <sz val="9"/>
      <color rgb="FFC00000"/>
      <name val="Arial"/>
      <family val="2"/>
    </font>
    <font>
      <i/>
      <sz val="8"/>
      <color rgb="FFC00000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11"/>
      <color rgb="FFC00000"/>
      <name val="Arial"/>
      <family val="2"/>
    </font>
    <font>
      <sz val="12"/>
      <name val="Arial"/>
      <family val="2"/>
    </font>
    <font>
      <sz val="12"/>
      <name val="Calibri"/>
      <family val="2"/>
    </font>
    <font>
      <b/>
      <sz val="10"/>
      <color rgb="FFC00000"/>
      <name val="Arial"/>
      <family val="2"/>
    </font>
    <font>
      <b/>
      <i/>
      <sz val="1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name val="Arial"/>
      <family val="2"/>
    </font>
    <font>
      <b/>
      <sz val="8"/>
      <color rgb="FFC00000"/>
      <name val="Arial"/>
      <family val="2"/>
    </font>
    <font>
      <sz val="10"/>
      <color rgb="FFC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/>
  </cellStyleXfs>
  <cellXfs count="1525">
    <xf numFmtId="0" fontId="0" fillId="0" borderId="0" xfId="0"/>
    <xf numFmtId="0" fontId="2" fillId="0" borderId="0" xfId="0" applyFont="1" applyBorder="1" applyAlignment="1"/>
    <xf numFmtId="0" fontId="0" fillId="0" borderId="0" xfId="0" applyBorder="1" applyAlignment="1"/>
    <xf numFmtId="0" fontId="0" fillId="0" borderId="0" xfId="0" applyBorder="1"/>
    <xf numFmtId="9" fontId="0" fillId="0" borderId="0" xfId="1" applyFont="1" applyBorder="1" applyAlignment="1"/>
    <xf numFmtId="0" fontId="0" fillId="0" borderId="0" xfId="0" applyAlignment="1"/>
    <xf numFmtId="9" fontId="0" fillId="0" borderId="0" xfId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3" borderId="27" xfId="0" applyNumberFormat="1" applyFill="1" applyBorder="1" applyAlignment="1">
      <alignment horizontal="center"/>
    </xf>
    <xf numFmtId="2" fontId="0" fillId="0" borderId="27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1" applyNumberFormat="1" applyFont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0" fillId="0" borderId="13" xfId="0" applyBorder="1"/>
    <xf numFmtId="0" fontId="0" fillId="3" borderId="0" xfId="0" applyFill="1"/>
    <xf numFmtId="2" fontId="0" fillId="0" borderId="18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2" fontId="0" fillId="0" borderId="18" xfId="0" applyNumberFormat="1" applyFill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168" fontId="0" fillId="0" borderId="32" xfId="0" applyNumberFormat="1" applyBorder="1" applyAlignment="1">
      <alignment horizontal="center"/>
    </xf>
    <xf numFmtId="0" fontId="0" fillId="0" borderId="33" xfId="0" applyNumberFormat="1" applyBorder="1" applyAlignment="1">
      <alignment horizontal="center"/>
    </xf>
    <xf numFmtId="168" fontId="0" fillId="0" borderId="34" xfId="0" applyNumberFormat="1" applyBorder="1" applyAlignment="1">
      <alignment horizontal="center"/>
    </xf>
    <xf numFmtId="0" fontId="0" fillId="0" borderId="35" xfId="0" applyNumberFormat="1" applyBorder="1" applyAlignment="1">
      <alignment horizontal="center"/>
    </xf>
    <xf numFmtId="168" fontId="0" fillId="0" borderId="36" xfId="0" applyNumberFormat="1" applyBorder="1" applyAlignment="1">
      <alignment horizontal="center"/>
    </xf>
    <xf numFmtId="168" fontId="0" fillId="0" borderId="12" xfId="0" applyNumberFormat="1" applyBorder="1" applyAlignment="1">
      <alignment horizontal="center"/>
    </xf>
    <xf numFmtId="168" fontId="0" fillId="0" borderId="27" xfId="0" applyNumberFormat="1" applyBorder="1" applyAlignment="1">
      <alignment horizontal="center"/>
    </xf>
    <xf numFmtId="0" fontId="0" fillId="0" borderId="37" xfId="0" applyNumberFormat="1" applyBorder="1" applyAlignment="1">
      <alignment horizontal="center"/>
    </xf>
    <xf numFmtId="168" fontId="0" fillId="0" borderId="38" xfId="0" applyNumberFormat="1" applyBorder="1" applyAlignment="1">
      <alignment horizontal="center"/>
    </xf>
    <xf numFmtId="0" fontId="0" fillId="0" borderId="3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6" xfId="0" applyNumberFormat="1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2" fontId="0" fillId="0" borderId="40" xfId="0" applyNumberFormat="1" applyFill="1" applyBorder="1" applyAlignment="1">
      <alignment horizontal="center"/>
    </xf>
    <xf numFmtId="165" fontId="0" fillId="0" borderId="37" xfId="0" applyNumberFormat="1" applyBorder="1" applyAlignment="1">
      <alignment horizontal="center"/>
    </xf>
    <xf numFmtId="165" fontId="0" fillId="0" borderId="33" xfId="0" applyNumberFormat="1" applyBorder="1" applyAlignment="1">
      <alignment horizontal="center"/>
    </xf>
    <xf numFmtId="165" fontId="0" fillId="0" borderId="35" xfId="0" applyNumberFormat="1" applyBorder="1" applyAlignment="1">
      <alignment horizontal="center"/>
    </xf>
    <xf numFmtId="0" fontId="3" fillId="0" borderId="0" xfId="0" applyFont="1" applyBorder="1" applyAlignment="1"/>
    <xf numFmtId="168" fontId="0" fillId="3" borderId="34" xfId="0" applyNumberFormat="1" applyFill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0" xfId="0" applyFont="1"/>
    <xf numFmtId="2" fontId="0" fillId="2" borderId="18" xfId="0" applyNumberForma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165" fontId="0" fillId="0" borderId="39" xfId="0" applyNumberFormat="1" applyBorder="1" applyAlignment="1">
      <alignment horizontal="center"/>
    </xf>
    <xf numFmtId="168" fontId="0" fillId="3" borderId="0" xfId="0" applyNumberFormat="1" applyFill="1" applyBorder="1"/>
    <xf numFmtId="0" fontId="0" fillId="3" borderId="0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2" borderId="26" xfId="0" applyNumberFormat="1" applyFill="1" applyBorder="1" applyAlignment="1">
      <alignment horizontal="center"/>
    </xf>
    <xf numFmtId="9" fontId="4" fillId="0" borderId="14" xfId="1" applyFont="1" applyBorder="1"/>
    <xf numFmtId="168" fontId="0" fillId="0" borderId="0" xfId="0" applyNumberFormat="1" applyBorder="1" applyAlignment="1">
      <alignment horizontal="center"/>
    </xf>
    <xf numFmtId="0" fontId="13" fillId="0" borderId="19" xfId="0" applyFont="1" applyBorder="1" applyAlignment="1">
      <alignment horizontal="center"/>
    </xf>
    <xf numFmtId="168" fontId="0" fillId="3" borderId="32" xfId="0" applyNumberFormat="1" applyFill="1" applyBorder="1" applyAlignment="1">
      <alignment horizontal="center"/>
    </xf>
    <xf numFmtId="0" fontId="0" fillId="3" borderId="37" xfId="0" applyNumberFormat="1" applyFill="1" applyBorder="1" applyAlignment="1">
      <alignment horizontal="center"/>
    </xf>
    <xf numFmtId="2" fontId="0" fillId="3" borderId="16" xfId="0" applyNumberFormat="1" applyFill="1" applyBorder="1" applyAlignment="1">
      <alignment horizontal="center"/>
    </xf>
    <xf numFmtId="0" fontId="0" fillId="3" borderId="35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0" fillId="0" borderId="26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0" fillId="0" borderId="40" xfId="0" applyBorder="1"/>
    <xf numFmtId="164" fontId="0" fillId="0" borderId="16" xfId="0" applyNumberFormat="1" applyBorder="1" applyAlignment="1">
      <alignment horizontal="center"/>
    </xf>
    <xf numFmtId="167" fontId="0" fillId="0" borderId="41" xfId="0" applyNumberFormat="1" applyBorder="1" applyAlignment="1">
      <alignment horizontal="center"/>
    </xf>
    <xf numFmtId="167" fontId="0" fillId="0" borderId="15" xfId="0" applyNumberForma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168" fontId="0" fillId="3" borderId="16" xfId="0" applyNumberFormat="1" applyFill="1" applyBorder="1" applyAlignment="1">
      <alignment horizontal="center"/>
    </xf>
    <xf numFmtId="168" fontId="0" fillId="0" borderId="16" xfId="0" applyNumberFormat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168" fontId="0" fillId="0" borderId="49" xfId="0" applyNumberFormat="1" applyBorder="1" applyAlignment="1">
      <alignment horizontal="center"/>
    </xf>
    <xf numFmtId="0" fontId="0" fillId="3" borderId="31" xfId="0" applyFill="1" applyBorder="1" applyAlignment="1">
      <alignment horizontal="center"/>
    </xf>
    <xf numFmtId="164" fontId="8" fillId="0" borderId="31" xfId="1" applyNumberFormat="1" applyFont="1" applyBorder="1" applyAlignment="1">
      <alignment horizontal="center"/>
    </xf>
    <xf numFmtId="164" fontId="8" fillId="3" borderId="37" xfId="1" applyNumberFormat="1" applyFont="1" applyFill="1" applyBorder="1" applyAlignment="1">
      <alignment horizontal="center"/>
    </xf>
    <xf numFmtId="164" fontId="8" fillId="0" borderId="37" xfId="1" applyNumberFormat="1" applyFont="1" applyBorder="1" applyAlignment="1">
      <alignment horizontal="center"/>
    </xf>
    <xf numFmtId="164" fontId="8" fillId="0" borderId="41" xfId="1" applyNumberFormat="1" applyFont="1" applyBorder="1" applyAlignment="1">
      <alignment horizontal="center"/>
    </xf>
    <xf numFmtId="164" fontId="8" fillId="0" borderId="39" xfId="1" applyNumberFormat="1" applyFont="1" applyBorder="1" applyAlignment="1">
      <alignment horizontal="center"/>
    </xf>
    <xf numFmtId="164" fontId="8" fillId="0" borderId="37" xfId="1" applyNumberFormat="1" applyFont="1" applyFill="1" applyBorder="1" applyAlignment="1">
      <alignment horizontal="center"/>
    </xf>
    <xf numFmtId="167" fontId="0" fillId="0" borderId="16" xfId="0" applyNumberFormat="1" applyBorder="1" applyAlignment="1">
      <alignment horizontal="center"/>
    </xf>
    <xf numFmtId="167" fontId="0" fillId="0" borderId="13" xfId="0" applyNumberForma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164" fontId="8" fillId="3" borderId="16" xfId="0" applyNumberFormat="1" applyFont="1" applyFill="1" applyBorder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164" fontId="8" fillId="0" borderId="4" xfId="0" applyNumberFormat="1" applyFont="1" applyFill="1" applyBorder="1" applyAlignment="1">
      <alignment horizontal="center"/>
    </xf>
    <xf numFmtId="0" fontId="5" fillId="0" borderId="40" xfId="0" applyFont="1" applyBorder="1" applyAlignment="1"/>
    <xf numFmtId="0" fontId="0" fillId="0" borderId="1" xfId="0" applyBorder="1"/>
    <xf numFmtId="0" fontId="12" fillId="0" borderId="16" xfId="0" applyFont="1" applyBorder="1" applyAlignment="1">
      <alignment horizontal="center"/>
    </xf>
    <xf numFmtId="9" fontId="4" fillId="0" borderId="38" xfId="1" applyFont="1" applyFill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0" borderId="8" xfId="0" applyBorder="1"/>
    <xf numFmtId="0" fontId="0" fillId="0" borderId="21" xfId="0" applyBorder="1"/>
    <xf numFmtId="0" fontId="14" fillId="0" borderId="16" xfId="0" applyFont="1" applyBorder="1" applyAlignment="1">
      <alignment horizontal="center"/>
    </xf>
    <xf numFmtId="0" fontId="25" fillId="0" borderId="0" xfId="0" applyFont="1"/>
    <xf numFmtId="0" fontId="0" fillId="0" borderId="49" xfId="0" applyBorder="1"/>
    <xf numFmtId="0" fontId="0" fillId="0" borderId="38" xfId="0" applyBorder="1"/>
    <xf numFmtId="0" fontId="8" fillId="0" borderId="28" xfId="0" applyFont="1" applyBorder="1"/>
    <xf numFmtId="0" fontId="8" fillId="0" borderId="41" xfId="0" applyFont="1" applyBorder="1"/>
    <xf numFmtId="0" fontId="8" fillId="0" borderId="4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4" fillId="0" borderId="16" xfId="0" applyFont="1" applyBorder="1"/>
    <xf numFmtId="0" fontId="22" fillId="0" borderId="0" xfId="0" applyFont="1" applyFill="1" applyBorder="1" applyAlignment="1">
      <alignment horizontal="center"/>
    </xf>
    <xf numFmtId="9" fontId="4" fillId="0" borderId="32" xfId="1" applyFont="1" applyFill="1" applyBorder="1" applyAlignment="1">
      <alignment horizontal="center"/>
    </xf>
    <xf numFmtId="0" fontId="22" fillId="0" borderId="4" xfId="0" applyFont="1" applyFill="1" applyBorder="1" applyAlignment="1">
      <alignment horizontal="center"/>
    </xf>
    <xf numFmtId="0" fontId="22" fillId="0" borderId="16" xfId="0" applyFont="1" applyFill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43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0" fontId="4" fillId="0" borderId="16" xfId="0" applyFont="1" applyBorder="1" applyAlignment="1"/>
    <xf numFmtId="0" fontId="10" fillId="0" borderId="13" xfId="0" applyFon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0" fontId="0" fillId="0" borderId="27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4" fillId="0" borderId="16" xfId="0" applyFont="1" applyFill="1" applyBorder="1" applyAlignment="1">
      <alignment horizontal="left"/>
    </xf>
    <xf numFmtId="0" fontId="10" fillId="0" borderId="10" xfId="0" applyFont="1" applyBorder="1" applyAlignment="1"/>
    <xf numFmtId="2" fontId="0" fillId="5" borderId="26" xfId="0" applyNumberFormat="1" applyFill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168" fontId="0" fillId="5" borderId="4" xfId="0" applyNumberFormat="1" applyFill="1" applyBorder="1" applyAlignment="1">
      <alignment horizontal="center"/>
    </xf>
    <xf numFmtId="2" fontId="0" fillId="5" borderId="0" xfId="0" applyNumberFormat="1" applyFill="1" applyBorder="1" applyAlignment="1">
      <alignment horizontal="center"/>
    </xf>
    <xf numFmtId="2" fontId="0" fillId="5" borderId="4" xfId="0" applyNumberFormat="1" applyFill="1" applyBorder="1" applyAlignment="1">
      <alignment horizontal="center"/>
    </xf>
    <xf numFmtId="2" fontId="0" fillId="5" borderId="18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0" fillId="0" borderId="0" xfId="0" applyAlignment="1"/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8" fontId="0" fillId="5" borderId="34" xfId="0" applyNumberFormat="1" applyFill="1" applyBorder="1" applyAlignment="1">
      <alignment horizontal="center"/>
    </xf>
    <xf numFmtId="0" fontId="0" fillId="5" borderId="35" xfId="0" applyNumberFormat="1" applyFill="1" applyBorder="1" applyAlignment="1">
      <alignment horizontal="center"/>
    </xf>
    <xf numFmtId="2" fontId="0" fillId="5" borderId="27" xfId="0" applyNumberFormat="1" applyFill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165" fontId="0" fillId="5" borderId="9" xfId="0" applyNumberFormat="1" applyFill="1" applyBorder="1" applyAlignment="1">
      <alignment horizontal="center"/>
    </xf>
    <xf numFmtId="165" fontId="0" fillId="5" borderId="35" xfId="0" applyNumberFormat="1" applyFill="1" applyBorder="1" applyAlignment="1">
      <alignment horizontal="center"/>
    </xf>
    <xf numFmtId="165" fontId="0" fillId="5" borderId="8" xfId="0" applyNumberFormat="1" applyFill="1" applyBorder="1" applyAlignment="1">
      <alignment horizontal="center"/>
    </xf>
    <xf numFmtId="168" fontId="0" fillId="5" borderId="36" xfId="0" applyNumberFormat="1" applyFill="1" applyBorder="1" applyAlignment="1">
      <alignment horizontal="center"/>
    </xf>
    <xf numFmtId="0" fontId="0" fillId="5" borderId="33" xfId="0" applyNumberFormat="1" applyFill="1" applyBorder="1" applyAlignment="1">
      <alignment horizontal="center"/>
    </xf>
    <xf numFmtId="2" fontId="0" fillId="5" borderId="12" xfId="0" applyNumberForma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165" fontId="0" fillId="5" borderId="3" xfId="0" applyNumberFormat="1" applyFill="1" applyBorder="1" applyAlignment="1">
      <alignment horizontal="center"/>
    </xf>
    <xf numFmtId="165" fontId="0" fillId="5" borderId="33" xfId="0" applyNumberFormat="1" applyFill="1" applyBorder="1" applyAlignment="1">
      <alignment horizontal="center"/>
    </xf>
    <xf numFmtId="165" fontId="0" fillId="5" borderId="5" xfId="0" applyNumberFormat="1" applyFill="1" applyBorder="1" applyAlignment="1">
      <alignment horizontal="center"/>
    </xf>
    <xf numFmtId="0" fontId="0" fillId="5" borderId="1" xfId="0" applyFill="1" applyBorder="1"/>
    <xf numFmtId="165" fontId="0" fillId="5" borderId="7" xfId="0" applyNumberFormat="1" applyFill="1" applyBorder="1" applyAlignment="1">
      <alignment horizontal="center"/>
    </xf>
    <xf numFmtId="165" fontId="0" fillId="5" borderId="6" xfId="0" applyNumberFormat="1" applyFill="1" applyBorder="1" applyAlignment="1">
      <alignment horizontal="center"/>
    </xf>
    <xf numFmtId="165" fontId="0" fillId="5" borderId="16" xfId="0" applyNumberFormat="1" applyFill="1" applyBorder="1" applyAlignment="1">
      <alignment horizontal="center"/>
    </xf>
    <xf numFmtId="168" fontId="0" fillId="5" borderId="32" xfId="0" applyNumberFormat="1" applyFill="1" applyBorder="1" applyAlignment="1">
      <alignment horizontal="center"/>
    </xf>
    <xf numFmtId="0" fontId="0" fillId="5" borderId="37" xfId="0" applyNumberFormat="1" applyFill="1" applyBorder="1" applyAlignment="1">
      <alignment horizontal="center"/>
    </xf>
    <xf numFmtId="2" fontId="17" fillId="5" borderId="2" xfId="0" applyNumberFormat="1" applyFont="1" applyFill="1" applyBorder="1" applyAlignment="1">
      <alignment horizontal="center"/>
    </xf>
    <xf numFmtId="2" fontId="0" fillId="5" borderId="16" xfId="0" applyNumberFormat="1" applyFill="1" applyBorder="1" applyAlignment="1">
      <alignment horizontal="center"/>
    </xf>
    <xf numFmtId="0" fontId="22" fillId="0" borderId="41" xfId="0" applyFon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2" fontId="0" fillId="0" borderId="45" xfId="0" applyNumberFormat="1" applyBorder="1" applyAlignment="1">
      <alignment horizontal="center"/>
    </xf>
    <xf numFmtId="2" fontId="0" fillId="0" borderId="41" xfId="1" applyNumberFormat="1" applyFont="1" applyBorder="1" applyAlignment="1">
      <alignment horizontal="center"/>
    </xf>
    <xf numFmtId="2" fontId="0" fillId="0" borderId="25" xfId="1" applyNumberFormat="1" applyFont="1" applyFill="1" applyBorder="1" applyAlignment="1">
      <alignment horizontal="center"/>
    </xf>
    <xf numFmtId="2" fontId="0" fillId="0" borderId="54" xfId="0" applyNumberFormat="1" applyBorder="1" applyAlignment="1">
      <alignment horizontal="center"/>
    </xf>
    <xf numFmtId="2" fontId="0" fillId="5" borderId="24" xfId="0" applyNumberFormat="1" applyFill="1" applyBorder="1" applyAlignment="1">
      <alignment horizontal="center"/>
    </xf>
    <xf numFmtId="2" fontId="0" fillId="0" borderId="54" xfId="0" applyNumberFormat="1" applyFill="1" applyBorder="1" applyAlignment="1">
      <alignment horizontal="center"/>
    </xf>
    <xf numFmtId="2" fontId="0" fillId="0" borderId="24" xfId="0" applyNumberFormat="1" applyFill="1" applyBorder="1" applyAlignment="1">
      <alignment horizontal="center"/>
    </xf>
    <xf numFmtId="2" fontId="0" fillId="5" borderId="54" xfId="0" applyNumberFormat="1" applyFill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22" xfId="0" applyNumberFormat="1" applyFill="1" applyBorder="1" applyAlignment="1">
      <alignment horizontal="center"/>
    </xf>
    <xf numFmtId="2" fontId="0" fillId="0" borderId="2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165" fontId="0" fillId="0" borderId="31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8" fillId="0" borderId="38" xfId="0" applyFont="1" applyBorder="1" applyAlignment="1">
      <alignment horizontal="right"/>
    </xf>
    <xf numFmtId="165" fontId="0" fillId="0" borderId="13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8" fillId="0" borderId="0" xfId="0" applyFont="1" applyBorder="1" applyAlignment="1">
      <alignment horizontal="left"/>
    </xf>
    <xf numFmtId="2" fontId="0" fillId="5" borderId="22" xfId="0" applyNumberFormat="1" applyFill="1" applyBorder="1" applyAlignment="1">
      <alignment horizontal="center"/>
    </xf>
    <xf numFmtId="0" fontId="8" fillId="7" borderId="52" xfId="0" applyFont="1" applyFill="1" applyBorder="1"/>
    <xf numFmtId="165" fontId="0" fillId="7" borderId="2" xfId="0" applyNumberFormat="1" applyFill="1" applyBorder="1" applyAlignment="1">
      <alignment horizontal="center"/>
    </xf>
    <xf numFmtId="165" fontId="0" fillId="7" borderId="41" xfId="0" applyNumberFormat="1" applyFill="1" applyBorder="1" applyAlignment="1">
      <alignment horizontal="center"/>
    </xf>
    <xf numFmtId="0" fontId="0" fillId="7" borderId="55" xfId="0" applyFill="1" applyBorder="1" applyAlignment="1">
      <alignment horizontal="center"/>
    </xf>
    <xf numFmtId="1" fontId="0" fillId="7" borderId="46" xfId="0" applyNumberFormat="1" applyFill="1" applyBorder="1" applyAlignment="1">
      <alignment horizontal="center"/>
    </xf>
    <xf numFmtId="1" fontId="0" fillId="7" borderId="56" xfId="0" applyNumberForma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165" fontId="0" fillId="7" borderId="14" xfId="0" applyNumberFormat="1" applyFill="1" applyBorder="1" applyAlignment="1">
      <alignment horizontal="center"/>
    </xf>
    <xf numFmtId="165" fontId="0" fillId="7" borderId="15" xfId="0" applyNumberFormat="1" applyFill="1" applyBorder="1" applyAlignment="1">
      <alignment horizontal="center"/>
    </xf>
    <xf numFmtId="0" fontId="9" fillId="8" borderId="50" xfId="0" applyFont="1" applyFill="1" applyBorder="1" applyAlignment="1">
      <alignment horizontal="center"/>
    </xf>
    <xf numFmtId="2" fontId="9" fillId="8" borderId="48" xfId="0" applyNumberFormat="1" applyFont="1" applyFill="1" applyBorder="1" applyAlignment="1">
      <alignment horizontal="center"/>
    </xf>
    <xf numFmtId="165" fontId="0" fillId="8" borderId="2" xfId="0" applyNumberFormat="1" applyFill="1" applyBorder="1" applyAlignment="1">
      <alignment horizontal="center"/>
    </xf>
    <xf numFmtId="165" fontId="0" fillId="8" borderId="41" xfId="0" applyNumberFormat="1" applyFill="1" applyBorder="1" applyAlignment="1">
      <alignment horizontal="center"/>
    </xf>
    <xf numFmtId="0" fontId="0" fillId="8" borderId="55" xfId="0" applyFill="1" applyBorder="1" applyAlignment="1">
      <alignment horizontal="center"/>
    </xf>
    <xf numFmtId="1" fontId="0" fillId="8" borderId="46" xfId="0" applyNumberFormat="1" applyFill="1" applyBorder="1" applyAlignment="1">
      <alignment horizontal="center"/>
    </xf>
    <xf numFmtId="1" fontId="0" fillId="8" borderId="56" xfId="0" applyNumberFormat="1" applyFill="1" applyBorder="1" applyAlignment="1">
      <alignment horizontal="center"/>
    </xf>
    <xf numFmtId="0" fontId="8" fillId="8" borderId="13" xfId="0" applyFont="1" applyFill="1" applyBorder="1" applyAlignment="1">
      <alignment horizontal="center"/>
    </xf>
    <xf numFmtId="165" fontId="0" fillId="8" borderId="14" xfId="0" applyNumberFormat="1" applyFill="1" applyBorder="1" applyAlignment="1">
      <alignment horizontal="center"/>
    </xf>
    <xf numFmtId="165" fontId="0" fillId="8" borderId="15" xfId="0" applyNumberFormat="1" applyFill="1" applyBorder="1" applyAlignment="1">
      <alignment horizontal="center"/>
    </xf>
    <xf numFmtId="0" fontId="0" fillId="5" borderId="37" xfId="0" applyFill="1" applyBorder="1" applyAlignment="1"/>
    <xf numFmtId="0" fontId="0" fillId="5" borderId="35" xfId="0" applyFill="1" applyBorder="1" applyAlignment="1"/>
    <xf numFmtId="0" fontId="26" fillId="5" borderId="35" xfId="0" applyFont="1" applyFill="1" applyBorder="1" applyAlignment="1">
      <alignment horizontal="center"/>
    </xf>
    <xf numFmtId="0" fontId="26" fillId="5" borderId="39" xfId="0" applyFont="1" applyFill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2" fontId="30" fillId="5" borderId="2" xfId="0" applyNumberFormat="1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0" fontId="9" fillId="7" borderId="35" xfId="0" applyFont="1" applyFill="1" applyBorder="1" applyAlignment="1">
      <alignment horizontal="center"/>
    </xf>
    <xf numFmtId="0" fontId="21" fillId="8" borderId="34" xfId="0" applyFont="1" applyFill="1" applyBorder="1"/>
    <xf numFmtId="0" fontId="21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8" fontId="0" fillId="0" borderId="5" xfId="0" applyNumberFormat="1" applyBorder="1" applyAlignment="1">
      <alignment horizontal="center"/>
    </xf>
    <xf numFmtId="168" fontId="0" fillId="0" borderId="6" xfId="0" applyNumberFormat="1" applyBorder="1" applyAlignment="1">
      <alignment horizontal="center"/>
    </xf>
    <xf numFmtId="168" fontId="0" fillId="0" borderId="8" xfId="0" applyNumberFormat="1" applyBorder="1" applyAlignment="1">
      <alignment horizontal="center"/>
    </xf>
    <xf numFmtId="0" fontId="4" fillId="0" borderId="41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3" fillId="0" borderId="40" xfId="0" applyFont="1" applyBorder="1" applyAlignment="1"/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9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0" fillId="5" borderId="44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2" fontId="0" fillId="5" borderId="26" xfId="0" applyNumberFormat="1" applyFill="1" applyBorder="1" applyAlignment="1">
      <alignment horizontal="left" indent="1"/>
    </xf>
    <xf numFmtId="2" fontId="0" fillId="5" borderId="41" xfId="0" applyNumberFormat="1" applyFill="1" applyBorder="1" applyAlignment="1">
      <alignment horizontal="center"/>
    </xf>
    <xf numFmtId="2" fontId="0" fillId="5" borderId="34" xfId="0" applyNumberFormat="1" applyFill="1" applyBorder="1" applyAlignment="1">
      <alignment horizontal="center"/>
    </xf>
    <xf numFmtId="2" fontId="0" fillId="5" borderId="44" xfId="1" applyNumberFormat="1" applyFont="1" applyFill="1" applyBorder="1" applyAlignment="1">
      <alignment horizontal="center"/>
    </xf>
    <xf numFmtId="2" fontId="0" fillId="5" borderId="45" xfId="0" applyNumberFormat="1" applyFill="1" applyBorder="1" applyAlignment="1">
      <alignment horizontal="center"/>
    </xf>
    <xf numFmtId="0" fontId="0" fillId="5" borderId="27" xfId="0" applyNumberFormat="1" applyFill="1" applyBorder="1" applyAlignment="1">
      <alignment horizontal="center"/>
    </xf>
    <xf numFmtId="2" fontId="0" fillId="5" borderId="36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2" fontId="0" fillId="5" borderId="41" xfId="1" applyNumberFormat="1" applyFon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168" fontId="0" fillId="5" borderId="12" xfId="0" applyNumberFormat="1" applyFill="1" applyBorder="1" applyAlignment="1">
      <alignment horizontal="center"/>
    </xf>
    <xf numFmtId="168" fontId="0" fillId="5" borderId="27" xfId="0" applyNumberFormat="1" applyFill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9" xfId="0" applyBorder="1"/>
    <xf numFmtId="2" fontId="0" fillId="9" borderId="4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17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9" borderId="7" xfId="0" applyNumberFormat="1" applyFill="1" applyBorder="1" applyAlignment="1">
      <alignment horizontal="center"/>
    </xf>
    <xf numFmtId="165" fontId="0" fillId="9" borderId="6" xfId="0" applyNumberForma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165" fontId="0" fillId="0" borderId="41" xfId="0" applyNumberFormat="1" applyBorder="1" applyAlignment="1">
      <alignment horizontal="center"/>
    </xf>
    <xf numFmtId="165" fontId="0" fillId="9" borderId="41" xfId="0" applyNumberFormat="1" applyFill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4" fontId="4" fillId="0" borderId="4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2" fontId="4" fillId="3" borderId="26" xfId="0" applyNumberFormat="1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2" fontId="4" fillId="3" borderId="9" xfId="0" applyNumberFormat="1" applyFont="1" applyFill="1" applyBorder="1" applyAlignment="1">
      <alignment horizontal="center"/>
    </xf>
    <xf numFmtId="2" fontId="4" fillId="3" borderId="18" xfId="0" applyNumberFormat="1" applyFont="1" applyFill="1" applyBorder="1" applyAlignment="1">
      <alignment horizontal="center"/>
    </xf>
    <xf numFmtId="2" fontId="4" fillId="3" borderId="27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164" fontId="4" fillId="9" borderId="2" xfId="0" applyNumberFormat="1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164" fontId="4" fillId="2" borderId="7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2" fontId="4" fillId="3" borderId="7" xfId="0" applyNumberFormat="1" applyFont="1" applyFill="1" applyBorder="1" applyAlignment="1">
      <alignment horizontal="center"/>
    </xf>
    <xf numFmtId="2" fontId="4" fillId="3" borderId="0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2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4" fontId="4" fillId="0" borderId="35" xfId="0" applyNumberFormat="1" applyFont="1" applyBorder="1" applyAlignment="1">
      <alignment horizontal="center"/>
    </xf>
    <xf numFmtId="0" fontId="4" fillId="3" borderId="2" xfId="0" applyNumberFormat="1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9" borderId="1" xfId="0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18" xfId="0" applyNumberFormat="1" applyFont="1" applyFill="1" applyBorder="1" applyAlignment="1">
      <alignment horizontal="center"/>
    </xf>
    <xf numFmtId="2" fontId="4" fillId="2" borderId="27" xfId="0" applyNumberFormat="1" applyFont="1" applyFill="1" applyBorder="1" applyAlignment="1">
      <alignment horizontal="center"/>
    </xf>
    <xf numFmtId="0" fontId="4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165" fontId="4" fillId="0" borderId="15" xfId="0" applyNumberFormat="1" applyFont="1" applyFill="1" applyBorder="1" applyAlignment="1">
      <alignment horizontal="center"/>
    </xf>
    <xf numFmtId="165" fontId="0" fillId="0" borderId="7" xfId="0" applyNumberFormat="1" applyFill="1" applyBorder="1" applyAlignment="1">
      <alignment horizontal="center"/>
    </xf>
    <xf numFmtId="165" fontId="0" fillId="0" borderId="6" xfId="0" applyNumberFormat="1" applyFill="1" applyBorder="1" applyAlignment="1">
      <alignment horizontal="center"/>
    </xf>
    <xf numFmtId="165" fontId="0" fillId="0" borderId="41" xfId="0" applyNumberFormat="1" applyFill="1" applyBorder="1" applyAlignment="1">
      <alignment horizontal="center"/>
    </xf>
    <xf numFmtId="0" fontId="13" fillId="0" borderId="16" xfId="0" applyFont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13" xfId="0" applyNumberFormat="1" applyFill="1" applyBorder="1" applyAlignment="1">
      <alignment horizontal="center"/>
    </xf>
    <xf numFmtId="165" fontId="0" fillId="0" borderId="15" xfId="0" applyNumberFormat="1" applyFill="1" applyBorder="1" applyAlignment="1">
      <alignment horizontal="center"/>
    </xf>
    <xf numFmtId="165" fontId="0" fillId="0" borderId="32" xfId="0" applyNumberFormat="1" applyBorder="1" applyAlignment="1">
      <alignment horizontal="center"/>
    </xf>
    <xf numFmtId="0" fontId="1" fillId="0" borderId="0" xfId="0" applyFont="1"/>
    <xf numFmtId="2" fontId="10" fillId="0" borderId="41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164" fontId="4" fillId="0" borderId="30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>
      <alignment horizontal="center"/>
    </xf>
    <xf numFmtId="2" fontId="4" fillId="0" borderId="41" xfId="0" applyNumberFormat="1" applyFont="1" applyFill="1" applyBorder="1" applyAlignment="1">
      <alignment horizontal="center"/>
    </xf>
    <xf numFmtId="164" fontId="4" fillId="0" borderId="16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2" fontId="4" fillId="0" borderId="27" xfId="0" applyNumberFormat="1" applyFont="1" applyFill="1" applyBorder="1" applyAlignment="1">
      <alignment horizontal="center"/>
    </xf>
    <xf numFmtId="2" fontId="4" fillId="0" borderId="45" xfId="0" applyNumberFormat="1" applyFont="1" applyFill="1" applyBorder="1" applyAlignment="1">
      <alignment horizontal="center"/>
    </xf>
    <xf numFmtId="164" fontId="4" fillId="0" borderId="27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/>
    </xf>
    <xf numFmtId="2" fontId="4" fillId="0" borderId="35" xfId="0" applyNumberFormat="1" applyFont="1" applyFill="1" applyBorder="1" applyAlignment="1">
      <alignment horizontal="center"/>
    </xf>
    <xf numFmtId="2" fontId="4" fillId="0" borderId="15" xfId="0" applyNumberFormat="1" applyFont="1" applyFill="1" applyBorder="1" applyAlignment="1">
      <alignment horizontal="center"/>
    </xf>
    <xf numFmtId="164" fontId="4" fillId="0" borderId="13" xfId="0" applyNumberFormat="1" applyFont="1" applyFill="1" applyBorder="1" applyAlignment="1">
      <alignment horizontal="center"/>
    </xf>
    <xf numFmtId="0" fontId="0" fillId="0" borderId="0" xfId="0" applyAlignment="1"/>
    <xf numFmtId="2" fontId="0" fillId="0" borderId="8" xfId="0" applyNumberFormat="1" applyFill="1" applyBorder="1" applyAlignment="1">
      <alignment horizontal="center"/>
    </xf>
    <xf numFmtId="2" fontId="0" fillId="0" borderId="34" xfId="0" applyNumberFormat="1" applyFill="1" applyBorder="1" applyAlignment="1">
      <alignment horizontal="center"/>
    </xf>
    <xf numFmtId="2" fontId="0" fillId="0" borderId="35" xfId="0" applyNumberFormat="1" applyFill="1" applyBorder="1"/>
    <xf numFmtId="2" fontId="0" fillId="0" borderId="6" xfId="0" applyNumberForma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165" fontId="0" fillId="0" borderId="33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165" fontId="0" fillId="0" borderId="37" xfId="0" applyNumberFormat="1" applyFill="1" applyBorder="1" applyAlignment="1">
      <alignment horizontal="center"/>
    </xf>
    <xf numFmtId="0" fontId="0" fillId="0" borderId="28" xfId="0" applyBorder="1"/>
    <xf numFmtId="0" fontId="1" fillId="0" borderId="14" xfId="0" applyFont="1" applyBorder="1" applyAlignment="1">
      <alignment horizontal="center"/>
    </xf>
    <xf numFmtId="168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2" fontId="0" fillId="0" borderId="33" xfId="0" applyNumberFormat="1" applyFill="1" applyBorder="1" applyAlignment="1">
      <alignment horizontal="center"/>
    </xf>
    <xf numFmtId="2" fontId="0" fillId="10" borderId="0" xfId="0" applyNumberFormat="1" applyFill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9" borderId="1" xfId="0" applyNumberFormat="1" applyFont="1" applyFill="1" applyBorder="1" applyAlignment="1">
      <alignment horizontal="center"/>
    </xf>
    <xf numFmtId="0" fontId="4" fillId="9" borderId="18" xfId="0" applyFont="1" applyFill="1" applyBorder="1" applyAlignment="1">
      <alignment horizontal="center"/>
    </xf>
    <xf numFmtId="2" fontId="4" fillId="9" borderId="27" xfId="0" applyNumberFormat="1" applyFont="1" applyFill="1" applyBorder="1" applyAlignment="1">
      <alignment horizontal="center"/>
    </xf>
    <xf numFmtId="164" fontId="4" fillId="9" borderId="9" xfId="0" applyNumberFormat="1" applyFont="1" applyFill="1" applyBorder="1" applyAlignment="1">
      <alignment horizontal="center"/>
    </xf>
    <xf numFmtId="2" fontId="4" fillId="9" borderId="9" xfId="0" applyNumberFormat="1" applyFont="1" applyFill="1" applyBorder="1" applyAlignment="1">
      <alignment horizontal="center"/>
    </xf>
    <xf numFmtId="2" fontId="4" fillId="9" borderId="18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0" fontId="13" fillId="0" borderId="10" xfId="0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0" fontId="4" fillId="9" borderId="2" xfId="0" applyNumberFormat="1" applyFont="1" applyFill="1" applyBorder="1" applyAlignment="1">
      <alignment horizontal="center"/>
    </xf>
    <xf numFmtId="0" fontId="4" fillId="9" borderId="26" xfId="0" applyFont="1" applyFill="1" applyBorder="1" applyAlignment="1">
      <alignment horizontal="center"/>
    </xf>
    <xf numFmtId="2" fontId="4" fillId="9" borderId="12" xfId="0" applyNumberFormat="1" applyFont="1" applyFill="1" applyBorder="1" applyAlignment="1">
      <alignment horizontal="center"/>
    </xf>
    <xf numFmtId="2" fontId="4" fillId="9" borderId="16" xfId="0" applyNumberFormat="1" applyFont="1" applyFill="1" applyBorder="1" applyAlignment="1">
      <alignment horizontal="center"/>
    </xf>
    <xf numFmtId="2" fontId="4" fillId="9" borderId="41" xfId="0" applyNumberFormat="1" applyFont="1" applyFill="1" applyBorder="1" applyAlignment="1">
      <alignment horizontal="center"/>
    </xf>
    <xf numFmtId="164" fontId="4" fillId="9" borderId="16" xfId="0" applyNumberFormat="1" applyFont="1" applyFill="1" applyBorder="1" applyAlignment="1">
      <alignment horizontal="center"/>
    </xf>
    <xf numFmtId="2" fontId="4" fillId="9" borderId="3" xfId="0" applyNumberFormat="1" applyFont="1" applyFill="1" applyBorder="1" applyAlignment="1">
      <alignment horizontal="center"/>
    </xf>
    <xf numFmtId="2" fontId="4" fillId="9" borderId="35" xfId="0" applyNumberFormat="1" applyFont="1" applyFill="1" applyBorder="1" applyAlignment="1">
      <alignment horizontal="center"/>
    </xf>
    <xf numFmtId="164" fontId="4" fillId="9" borderId="27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164" fontId="4" fillId="0" borderId="35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5" fontId="0" fillId="9" borderId="0" xfId="0" applyNumberFormat="1" applyFill="1" applyBorder="1" applyAlignment="1">
      <alignment horizontal="center"/>
    </xf>
    <xf numFmtId="1" fontId="4" fillId="9" borderId="27" xfId="0" applyNumberFormat="1" applyFont="1" applyFill="1" applyBorder="1" applyAlignment="1">
      <alignment horizontal="center"/>
    </xf>
    <xf numFmtId="1" fontId="4" fillId="0" borderId="27" xfId="0" applyNumberFormat="1" applyFont="1" applyBorder="1" applyAlignment="1">
      <alignment horizontal="center"/>
    </xf>
    <xf numFmtId="1" fontId="4" fillId="0" borderId="27" xfId="0" applyNumberFormat="1" applyFont="1" applyFill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" fillId="0" borderId="0" xfId="0" applyFont="1" applyBorder="1" applyAlignment="1"/>
    <xf numFmtId="165" fontId="0" fillId="0" borderId="0" xfId="0" applyNumberFormat="1" applyFill="1"/>
    <xf numFmtId="2" fontId="4" fillId="0" borderId="3" xfId="0" applyNumberFormat="1" applyFont="1" applyBorder="1" applyAlignment="1">
      <alignment horizontal="center"/>
    </xf>
    <xf numFmtId="2" fontId="4" fillId="0" borderId="0" xfId="0" applyNumberFormat="1" applyFont="1" applyBorder="1"/>
    <xf numFmtId="2" fontId="4" fillId="6" borderId="3" xfId="0" applyNumberFormat="1" applyFont="1" applyFill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0" borderId="9" xfId="0" applyNumberFormat="1" applyFont="1" applyBorder="1"/>
    <xf numFmtId="2" fontId="4" fillId="2" borderId="0" xfId="0" applyNumberFormat="1" applyFont="1" applyFill="1" applyBorder="1"/>
    <xf numFmtId="2" fontId="4" fillId="0" borderId="1" xfId="0" applyNumberFormat="1" applyFont="1" applyBorder="1"/>
    <xf numFmtId="2" fontId="4" fillId="0" borderId="4" xfId="0" applyNumberFormat="1" applyFont="1" applyFill="1" applyBorder="1" applyAlignment="1">
      <alignment horizontal="center"/>
    </xf>
    <xf numFmtId="164" fontId="4" fillId="6" borderId="35" xfId="0" applyNumberFormat="1" applyFont="1" applyFill="1" applyBorder="1" applyAlignment="1">
      <alignment horizontal="center"/>
    </xf>
    <xf numFmtId="164" fontId="42" fillId="0" borderId="41" xfId="0" applyNumberFormat="1" applyFont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2" fontId="4" fillId="0" borderId="9" xfId="0" applyNumberFormat="1" applyFont="1" applyFill="1" applyBorder="1"/>
    <xf numFmtId="2" fontId="39" fillId="0" borderId="9" xfId="0" quotePrefix="1" applyNumberFormat="1" applyFont="1" applyFill="1" applyBorder="1"/>
    <xf numFmtId="164" fontId="42" fillId="9" borderId="41" xfId="0" applyNumberFormat="1" applyFont="1" applyFill="1" applyBorder="1" applyAlignment="1">
      <alignment horizontal="center"/>
    </xf>
    <xf numFmtId="2" fontId="0" fillId="11" borderId="0" xfId="0" applyNumberForma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165" fontId="0" fillId="0" borderId="54" xfId="0" applyNumberFormat="1" applyBorder="1" applyAlignment="1">
      <alignment horizontal="center"/>
    </xf>
    <xf numFmtId="165" fontId="0" fillId="0" borderId="24" xfId="0" applyNumberFormat="1" applyBorder="1" applyAlignment="1">
      <alignment horizontal="center"/>
    </xf>
    <xf numFmtId="0" fontId="0" fillId="0" borderId="0" xfId="0" applyFill="1" applyBorder="1" applyAlignment="1"/>
    <xf numFmtId="2" fontId="8" fillId="0" borderId="0" xfId="0" applyNumberFormat="1" applyFont="1" applyFill="1" applyBorder="1" applyAlignment="1">
      <alignment horizontal="center"/>
    </xf>
    <xf numFmtId="164" fontId="8" fillId="0" borderId="0" xfId="1" applyNumberFormat="1" applyFon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167" fontId="8" fillId="0" borderId="32" xfId="1" applyNumberFormat="1" applyFont="1" applyFill="1" applyBorder="1" applyAlignment="1">
      <alignment horizontal="center"/>
    </xf>
    <xf numFmtId="167" fontId="0" fillId="0" borderId="41" xfId="0" applyNumberFormat="1" applyFill="1" applyBorder="1" applyAlignment="1">
      <alignment horizontal="center"/>
    </xf>
    <xf numFmtId="0" fontId="8" fillId="0" borderId="32" xfId="1" applyNumberFormat="1" applyFont="1" applyFill="1" applyBorder="1" applyAlignment="1">
      <alignment horizontal="center"/>
    </xf>
    <xf numFmtId="0" fontId="0" fillId="0" borderId="41" xfId="0" applyNumberFormat="1" applyFill="1" applyBorder="1" applyAlignment="1">
      <alignment horizontal="center"/>
    </xf>
    <xf numFmtId="167" fontId="0" fillId="0" borderId="34" xfId="0" applyNumberFormat="1" applyFill="1" applyBorder="1"/>
    <xf numFmtId="167" fontId="0" fillId="0" borderId="45" xfId="0" applyNumberFormat="1" applyFill="1" applyBorder="1"/>
    <xf numFmtId="0" fontId="8" fillId="0" borderId="0" xfId="1" applyNumberFormat="1" applyFont="1" applyFill="1" applyBorder="1" applyAlignment="1">
      <alignment horizontal="center"/>
    </xf>
    <xf numFmtId="167" fontId="8" fillId="0" borderId="38" xfId="1" applyNumberFormat="1" applyFont="1" applyFill="1" applyBorder="1" applyAlignment="1">
      <alignment horizontal="center"/>
    </xf>
    <xf numFmtId="167" fontId="0" fillId="0" borderId="15" xfId="0" applyNumberFormat="1" applyFill="1" applyBorder="1" applyAlignment="1">
      <alignment horizontal="center"/>
    </xf>
    <xf numFmtId="0" fontId="15" fillId="0" borderId="0" xfId="0" applyFont="1" applyFill="1"/>
    <xf numFmtId="0" fontId="0" fillId="0" borderId="0" xfId="0" applyFill="1" applyAlignment="1"/>
    <xf numFmtId="167" fontId="8" fillId="0" borderId="0" xfId="0" applyNumberFormat="1" applyFont="1" applyFill="1" applyBorder="1" applyAlignment="1">
      <alignment horizontal="center"/>
    </xf>
    <xf numFmtId="9" fontId="0" fillId="0" borderId="0" xfId="1" applyFont="1" applyFill="1" applyBorder="1" applyAlignment="1"/>
    <xf numFmtId="0" fontId="0" fillId="0" borderId="0" xfId="0" applyAlignment="1">
      <alignment horizontal="center"/>
    </xf>
    <xf numFmtId="0" fontId="4" fillId="0" borderId="0" xfId="0" applyFont="1" applyFill="1" applyAlignment="1">
      <alignment horizontal="center"/>
    </xf>
    <xf numFmtId="14" fontId="0" fillId="0" borderId="0" xfId="0" applyNumberFormat="1"/>
    <xf numFmtId="169" fontId="0" fillId="0" borderId="11" xfId="0" applyNumberFormat="1" applyBorder="1" applyAlignment="1">
      <alignment horizontal="center"/>
    </xf>
    <xf numFmtId="169" fontId="0" fillId="0" borderId="4" xfId="0" applyNumberFormat="1" applyBorder="1" applyAlignment="1">
      <alignment horizontal="center"/>
    </xf>
    <xf numFmtId="169" fontId="0" fillId="5" borderId="2" xfId="0" applyNumberFormat="1" applyFill="1" applyBorder="1" applyAlignment="1">
      <alignment horizontal="center"/>
    </xf>
    <xf numFmtId="169" fontId="0" fillId="2" borderId="1" xfId="0" applyNumberFormat="1" applyFill="1" applyBorder="1" applyAlignment="1">
      <alignment horizontal="center"/>
    </xf>
    <xf numFmtId="169" fontId="0" fillId="5" borderId="4" xfId="0" applyNumberFormat="1" applyFill="1" applyBorder="1" applyAlignment="1">
      <alignment horizontal="center"/>
    </xf>
    <xf numFmtId="169" fontId="0" fillId="0" borderId="2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9" fontId="0" fillId="2" borderId="2" xfId="0" applyNumberFormat="1" applyFill="1" applyBorder="1" applyAlignment="1">
      <alignment horizontal="center"/>
    </xf>
    <xf numFmtId="169" fontId="0" fillId="5" borderId="1" xfId="0" applyNumberFormat="1" applyFill="1" applyBorder="1" applyAlignment="1">
      <alignment horizontal="center"/>
    </xf>
    <xf numFmtId="169" fontId="0" fillId="2" borderId="4" xfId="0" applyNumberFormat="1" applyFill="1" applyBorder="1" applyAlignment="1">
      <alignment horizontal="center"/>
    </xf>
    <xf numFmtId="169" fontId="0" fillId="0" borderId="2" xfId="0" applyNumberFormat="1" applyBorder="1"/>
    <xf numFmtId="169" fontId="0" fillId="0" borderId="1" xfId="0" applyNumberFormat="1" applyBorder="1"/>
    <xf numFmtId="169" fontId="0" fillId="0" borderId="4" xfId="0" applyNumberFormat="1" applyBorder="1"/>
    <xf numFmtId="169" fontId="0" fillId="5" borderId="4" xfId="0" applyNumberFormat="1" applyFill="1" applyBorder="1"/>
    <xf numFmtId="169" fontId="0" fillId="2" borderId="2" xfId="0" applyNumberFormat="1" applyFill="1" applyBorder="1"/>
    <xf numFmtId="169" fontId="0" fillId="5" borderId="1" xfId="0" applyNumberFormat="1" applyFill="1" applyBorder="1"/>
    <xf numFmtId="0" fontId="45" fillId="0" borderId="0" xfId="0" applyNumberFormat="1" applyFont="1" applyAlignment="1">
      <alignment horizontal="left"/>
    </xf>
    <xf numFmtId="0" fontId="45" fillId="0" borderId="0" xfId="0" applyFont="1" applyAlignment="1">
      <alignment horizontal="left"/>
    </xf>
    <xf numFmtId="14" fontId="1" fillId="0" borderId="0" xfId="0" applyNumberFormat="1" applyFont="1"/>
    <xf numFmtId="0" fontId="0" fillId="0" borderId="0" xfId="0" applyAlignment="1">
      <alignment horizontal="center"/>
    </xf>
    <xf numFmtId="165" fontId="0" fillId="0" borderId="35" xfId="0" applyNumberFormat="1" applyFill="1" applyBorder="1" applyAlignment="1">
      <alignment horizontal="center"/>
    </xf>
    <xf numFmtId="2" fontId="4" fillId="3" borderId="16" xfId="0" applyNumberFormat="1" applyFont="1" applyFill="1" applyBorder="1" applyAlignment="1">
      <alignment horizontal="center"/>
    </xf>
    <xf numFmtId="0" fontId="0" fillId="0" borderId="38" xfId="0" applyFill="1" applyBorder="1"/>
    <xf numFmtId="0" fontId="4" fillId="0" borderId="40" xfId="0" applyFont="1" applyFill="1" applyBorder="1" applyAlignment="1"/>
    <xf numFmtId="0" fontId="4" fillId="0" borderId="45" xfId="0" applyFont="1" applyFill="1" applyBorder="1" applyAlignment="1">
      <alignment horizontal="center"/>
    </xf>
    <xf numFmtId="2" fontId="39" fillId="0" borderId="1" xfId="0" quotePrefix="1" applyNumberFormat="1" applyFont="1" applyFill="1" applyBorder="1"/>
    <xf numFmtId="164" fontId="42" fillId="0" borderId="41" xfId="0" applyNumberFormat="1" applyFont="1" applyFill="1" applyBorder="1" applyAlignment="1">
      <alignment horizontal="center"/>
    </xf>
    <xf numFmtId="164" fontId="4" fillId="9" borderId="3" xfId="0" applyNumberFormat="1" applyFont="1" applyFill="1" applyBorder="1" applyAlignment="1">
      <alignment horizontal="center"/>
    </xf>
    <xf numFmtId="2" fontId="4" fillId="9" borderId="26" xfId="0" applyNumberFormat="1" applyFont="1" applyFill="1" applyBorder="1" applyAlignment="1">
      <alignment horizontal="center"/>
    </xf>
    <xf numFmtId="2" fontId="4" fillId="9" borderId="0" xfId="0" applyNumberFormat="1" applyFont="1" applyFill="1" applyBorder="1"/>
    <xf numFmtId="164" fontId="4" fillId="0" borderId="7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0" fillId="0" borderId="29" xfId="0" applyFill="1" applyBorder="1"/>
    <xf numFmtId="0" fontId="0" fillId="0" borderId="49" xfId="0" applyFill="1" applyBorder="1"/>
    <xf numFmtId="0" fontId="0" fillId="0" borderId="40" xfId="0" applyFill="1" applyBorder="1"/>
    <xf numFmtId="2" fontId="4" fillId="6" borderId="4" xfId="0" applyNumberFormat="1" applyFont="1" applyFill="1" applyBorder="1" applyAlignment="1">
      <alignment horizontal="center"/>
    </xf>
    <xf numFmtId="0" fontId="8" fillId="0" borderId="21" xfId="0" applyFont="1" applyBorder="1" applyAlignment="1">
      <alignment horizontal="center"/>
    </xf>
    <xf numFmtId="168" fontId="1" fillId="0" borderId="13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5" borderId="4" xfId="0" applyNumberForma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0" fontId="0" fillId="9" borderId="0" xfId="0" applyFill="1" applyAlignment="1">
      <alignment horizontal="center"/>
    </xf>
    <xf numFmtId="2" fontId="0" fillId="0" borderId="37" xfId="0" applyNumberFormat="1" applyFill="1" applyBorder="1" applyAlignment="1"/>
    <xf numFmtId="2" fontId="0" fillId="0" borderId="35" xfId="0" applyNumberFormat="1" applyFill="1" applyBorder="1" applyAlignment="1"/>
    <xf numFmtId="2" fontId="0" fillId="0" borderId="37" xfId="0" applyNumberFormat="1" applyFill="1" applyBorder="1" applyAlignment="1">
      <alignment horizontal="center"/>
    </xf>
    <xf numFmtId="2" fontId="26" fillId="0" borderId="35" xfId="0" applyNumberFormat="1" applyFont="1" applyFill="1" applyBorder="1" applyAlignment="1">
      <alignment horizontal="center"/>
    </xf>
    <xf numFmtId="2" fontId="26" fillId="5" borderId="39" xfId="0" applyNumberFormat="1" applyFont="1" applyFill="1" applyBorder="1" applyAlignment="1">
      <alignment horizontal="center"/>
    </xf>
    <xf numFmtId="0" fontId="8" fillId="5" borderId="53" xfId="0" applyFont="1" applyFill="1" applyBorder="1" applyAlignment="1">
      <alignment horizontal="right"/>
    </xf>
    <xf numFmtId="2" fontId="0" fillId="5" borderId="43" xfId="0" applyNumberFormat="1" applyFill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5" fillId="0" borderId="0" xfId="0" applyNumberFormat="1" applyFont="1" applyFill="1" applyAlignment="1">
      <alignment horizontal="right"/>
    </xf>
    <xf numFmtId="0" fontId="36" fillId="0" borderId="0" xfId="0" applyFont="1" applyFill="1" applyAlignment="1">
      <alignment horizontal="center"/>
    </xf>
    <xf numFmtId="2" fontId="10" fillId="0" borderId="44" xfId="0" applyNumberFormat="1" applyFont="1" applyFill="1" applyBorder="1" applyAlignment="1">
      <alignment horizontal="center"/>
    </xf>
    <xf numFmtId="2" fontId="10" fillId="0" borderId="45" xfId="0" applyNumberFormat="1" applyFont="1" applyFill="1" applyBorder="1" applyAlignment="1">
      <alignment horizontal="center"/>
    </xf>
    <xf numFmtId="2" fontId="10" fillId="9" borderId="44" xfId="0" applyNumberFormat="1" applyFont="1" applyFill="1" applyBorder="1" applyAlignment="1">
      <alignment horizontal="center"/>
    </xf>
    <xf numFmtId="2" fontId="10" fillId="9" borderId="45" xfId="0" applyNumberFormat="1" applyFont="1" applyFill="1" applyBorder="1" applyAlignment="1">
      <alignment horizontal="center"/>
    </xf>
    <xf numFmtId="0" fontId="4" fillId="0" borderId="45" xfId="0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1" fontId="4" fillId="9" borderId="16" xfId="0" applyNumberFormat="1" applyFont="1" applyFill="1" applyBorder="1" applyAlignment="1">
      <alignment horizontal="center"/>
    </xf>
    <xf numFmtId="1" fontId="4" fillId="0" borderId="16" xfId="0" applyNumberFormat="1" applyFont="1" applyFill="1" applyBorder="1" applyAlignment="1">
      <alignment horizontal="center"/>
    </xf>
    <xf numFmtId="0" fontId="4" fillId="9" borderId="45" xfId="0" applyFont="1" applyFill="1" applyBorder="1" applyAlignment="1">
      <alignment horizontal="center"/>
    </xf>
    <xf numFmtId="1" fontId="4" fillId="9" borderId="12" xfId="0" applyNumberFormat="1" applyFont="1" applyFill="1" applyBorder="1" applyAlignment="1">
      <alignment horizontal="center"/>
    </xf>
    <xf numFmtId="0" fontId="1" fillId="0" borderId="44" xfId="0" applyFont="1" applyBorder="1"/>
    <xf numFmtId="0" fontId="1" fillId="0" borderId="27" xfId="0" applyFont="1" applyBorder="1"/>
    <xf numFmtId="0" fontId="1" fillId="0" borderId="41" xfId="0" applyFont="1" applyBorder="1"/>
    <xf numFmtId="0" fontId="1" fillId="0" borderId="16" xfId="0" applyFont="1" applyBorder="1"/>
    <xf numFmtId="1" fontId="4" fillId="0" borderId="12" xfId="0" applyNumberFormat="1" applyFont="1" applyFill="1" applyBorder="1" applyAlignment="1">
      <alignment horizontal="center"/>
    </xf>
    <xf numFmtId="0" fontId="1" fillId="9" borderId="41" xfId="0" applyFont="1" applyFill="1" applyBorder="1"/>
    <xf numFmtId="0" fontId="1" fillId="9" borderId="27" xfId="0" applyFont="1" applyFill="1" applyBorder="1"/>
    <xf numFmtId="0" fontId="1" fillId="9" borderId="44" xfId="0" applyFont="1" applyFill="1" applyBorder="1"/>
    <xf numFmtId="1" fontId="30" fillId="0" borderId="12" xfId="0" applyNumberFormat="1" applyFont="1" applyBorder="1" applyAlignment="1">
      <alignment horizontal="center"/>
    </xf>
    <xf numFmtId="1" fontId="30" fillId="9" borderId="16" xfId="0" applyNumberFormat="1" applyFont="1" applyFill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1" fontId="30" fillId="0" borderId="16" xfId="0" applyNumberFormat="1" applyFont="1" applyFill="1" applyBorder="1" applyAlignment="1">
      <alignment horizontal="center"/>
    </xf>
    <xf numFmtId="1" fontId="30" fillId="0" borderId="16" xfId="0" applyNumberFormat="1" applyFont="1" applyBorder="1" applyAlignment="1">
      <alignment horizontal="center"/>
    </xf>
    <xf numFmtId="1" fontId="30" fillId="9" borderId="12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 applyBorder="1" applyAlignment="1"/>
    <xf numFmtId="0" fontId="3" fillId="0" borderId="0" xfId="0" applyFont="1" applyFill="1" applyBorder="1" applyAlignment="1"/>
    <xf numFmtId="0" fontId="0" fillId="0" borderId="0" xfId="0" applyBorder="1" applyAlignment="1"/>
    <xf numFmtId="2" fontId="45" fillId="0" borderId="8" xfId="0" applyNumberFormat="1" applyFont="1" applyFill="1" applyBorder="1" applyAlignment="1"/>
    <xf numFmtId="2" fontId="0" fillId="11" borderId="26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45" fillId="0" borderId="21" xfId="0" applyNumberFormat="1" applyFont="1" applyFill="1" applyBorder="1" applyAlignment="1"/>
    <xf numFmtId="2" fontId="0" fillId="3" borderId="22" xfId="0" applyNumberFormat="1" applyFill="1" applyBorder="1" applyAlignment="1">
      <alignment horizontal="center"/>
    </xf>
    <xf numFmtId="2" fontId="0" fillId="3" borderId="24" xfId="0" applyNumberFormat="1" applyFill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165" fontId="0" fillId="0" borderId="40" xfId="0" applyNumberFormat="1" applyBorder="1" applyAlignment="1">
      <alignment horizontal="center"/>
    </xf>
    <xf numFmtId="165" fontId="0" fillId="0" borderId="12" xfId="0" applyNumberFormat="1" applyFill="1" applyBorder="1" applyAlignment="1">
      <alignment horizontal="center"/>
    </xf>
    <xf numFmtId="165" fontId="0" fillId="0" borderId="27" xfId="0" applyNumberForma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5" fontId="31" fillId="0" borderId="28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70" fontId="31" fillId="0" borderId="0" xfId="0" applyNumberFormat="1" applyFont="1" applyFill="1" applyBorder="1" applyAlignment="1">
      <alignment horizontal="center"/>
    </xf>
    <xf numFmtId="170" fontId="4" fillId="0" borderId="0" xfId="0" applyNumberFormat="1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2" fontId="10" fillId="0" borderId="41" xfId="0" applyNumberFormat="1" applyFont="1" applyFill="1" applyBorder="1" applyAlignment="1">
      <alignment horizontal="center"/>
    </xf>
    <xf numFmtId="0" fontId="4" fillId="9" borderId="4" xfId="0" applyNumberFormat="1" applyFont="1" applyFill="1" applyBorder="1" applyAlignment="1">
      <alignment horizontal="center"/>
    </xf>
    <xf numFmtId="164" fontId="4" fillId="9" borderId="4" xfId="0" applyNumberFormat="1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164" fontId="4" fillId="9" borderId="7" xfId="0" applyNumberFormat="1" applyFont="1" applyFill="1" applyBorder="1" applyAlignment="1">
      <alignment horizontal="center"/>
    </xf>
    <xf numFmtId="2" fontId="4" fillId="9" borderId="7" xfId="0" applyNumberFormat="1" applyFont="1" applyFill="1" applyBorder="1" applyAlignment="1">
      <alignment horizontal="center"/>
    </xf>
    <xf numFmtId="2" fontId="4" fillId="9" borderId="0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2" fontId="4" fillId="2" borderId="16" xfId="0" applyNumberFormat="1" applyFont="1" applyFill="1" applyBorder="1" applyAlignment="1">
      <alignment horizontal="center"/>
    </xf>
    <xf numFmtId="164" fontId="4" fillId="0" borderId="50" xfId="0" applyNumberFormat="1" applyFont="1" applyBorder="1" applyAlignment="1">
      <alignment horizontal="center"/>
    </xf>
    <xf numFmtId="164" fontId="4" fillId="0" borderId="63" xfId="0" applyNumberFormat="1" applyFont="1" applyBorder="1"/>
    <xf numFmtId="164" fontId="4" fillId="3" borderId="51" xfId="0" applyNumberFormat="1" applyFont="1" applyFill="1" applyBorder="1" applyAlignment="1">
      <alignment horizontal="center"/>
    </xf>
    <xf numFmtId="2" fontId="4" fillId="3" borderId="51" xfId="0" applyNumberFormat="1" applyFont="1" applyFill="1" applyBorder="1" applyAlignment="1">
      <alignment horizontal="center"/>
    </xf>
    <xf numFmtId="2" fontId="4" fillId="3" borderId="64" xfId="0" applyNumberFormat="1" applyFont="1" applyFill="1" applyBorder="1" applyAlignment="1">
      <alignment horizontal="center"/>
    </xf>
    <xf numFmtId="2" fontId="4" fillId="3" borderId="30" xfId="0" applyNumberFormat="1" applyFont="1" applyFill="1" applyBorder="1" applyAlignment="1">
      <alignment horizontal="center"/>
    </xf>
    <xf numFmtId="2" fontId="4" fillId="0" borderId="51" xfId="0" applyNumberFormat="1" applyFont="1" applyFill="1" applyBorder="1" applyAlignment="1">
      <alignment horizontal="center"/>
    </xf>
    <xf numFmtId="1" fontId="4" fillId="0" borderId="30" xfId="0" applyNumberFormat="1" applyFont="1" applyBorder="1" applyAlignment="1">
      <alignment horizontal="center"/>
    </xf>
    <xf numFmtId="0" fontId="30" fillId="0" borderId="48" xfId="0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0" fillId="0" borderId="4" xfId="0" applyBorder="1"/>
    <xf numFmtId="0" fontId="4" fillId="0" borderId="62" xfId="0" applyFont="1" applyBorder="1" applyAlignment="1">
      <alignment horizontal="center"/>
    </xf>
    <xf numFmtId="164" fontId="4" fillId="0" borderId="4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164" fontId="4" fillId="0" borderId="47" xfId="0" applyNumberFormat="1" applyFont="1" applyBorder="1"/>
    <xf numFmtId="164" fontId="4" fillId="0" borderId="56" xfId="0" applyNumberFormat="1" applyFont="1" applyBorder="1" applyAlignment="1">
      <alignment horizontal="center"/>
    </xf>
    <xf numFmtId="164" fontId="4" fillId="3" borderId="62" xfId="0" applyNumberFormat="1" applyFont="1" applyFill="1" applyBorder="1" applyAlignment="1">
      <alignment horizontal="center"/>
    </xf>
    <xf numFmtId="2" fontId="4" fillId="3" borderId="62" xfId="0" applyNumberFormat="1" applyFont="1" applyFill="1" applyBorder="1" applyAlignment="1">
      <alignment horizontal="center"/>
    </xf>
    <xf numFmtId="2" fontId="4" fillId="3" borderId="47" xfId="0" applyNumberFormat="1" applyFont="1" applyFill="1" applyBorder="1" applyAlignment="1">
      <alignment horizontal="center"/>
    </xf>
    <xf numFmtId="2" fontId="4" fillId="3" borderId="55" xfId="0" applyNumberFormat="1" applyFont="1" applyFill="1" applyBorder="1" applyAlignment="1">
      <alignment horizontal="center"/>
    </xf>
    <xf numFmtId="2" fontId="4" fillId="0" borderId="55" xfId="0" applyNumberFormat="1" applyFont="1" applyFill="1" applyBorder="1" applyAlignment="1">
      <alignment horizontal="center"/>
    </xf>
    <xf numFmtId="164" fontId="4" fillId="0" borderId="55" xfId="0" applyNumberFormat="1" applyFont="1" applyFill="1" applyBorder="1" applyAlignment="1">
      <alignment horizontal="center"/>
    </xf>
    <xf numFmtId="2" fontId="4" fillId="0" borderId="62" xfId="0" applyNumberFormat="1" applyFont="1" applyFill="1" applyBorder="1" applyAlignment="1">
      <alignment horizontal="center"/>
    </xf>
    <xf numFmtId="1" fontId="4" fillId="0" borderId="55" xfId="0" applyNumberFormat="1" applyFont="1" applyBorder="1" applyAlignment="1">
      <alignment horizontal="center"/>
    </xf>
    <xf numFmtId="0" fontId="30" fillId="0" borderId="56" xfId="0" applyFont="1" applyBorder="1" applyAlignment="1">
      <alignment horizontal="center"/>
    </xf>
    <xf numFmtId="2" fontId="4" fillId="0" borderId="18" xfId="0" applyNumberFormat="1" applyFont="1" applyBorder="1"/>
    <xf numFmtId="0" fontId="30" fillId="0" borderId="45" xfId="0" applyFont="1" applyBorder="1" applyAlignment="1">
      <alignment horizontal="center"/>
    </xf>
    <xf numFmtId="0" fontId="4" fillId="0" borderId="46" xfId="0" applyNumberFormat="1" applyFont="1" applyBorder="1" applyAlignment="1">
      <alignment horizontal="center"/>
    </xf>
    <xf numFmtId="0" fontId="0" fillId="0" borderId="47" xfId="0" applyBorder="1"/>
    <xf numFmtId="2" fontId="4" fillId="0" borderId="47" xfId="0" applyNumberFormat="1" applyFont="1" applyBorder="1"/>
    <xf numFmtId="164" fontId="4" fillId="0" borderId="62" xfId="0" applyNumberFormat="1" applyFont="1" applyBorder="1" applyAlignment="1">
      <alignment horizontal="center"/>
    </xf>
    <xf numFmtId="0" fontId="4" fillId="3" borderId="46" xfId="0" applyNumberFormat="1" applyFont="1" applyFill="1" applyBorder="1" applyAlignment="1">
      <alignment horizontal="center"/>
    </xf>
    <xf numFmtId="0" fontId="4" fillId="3" borderId="47" xfId="0" applyFont="1" applyFill="1" applyBorder="1" applyAlignment="1">
      <alignment horizontal="center"/>
    </xf>
    <xf numFmtId="2" fontId="39" fillId="0" borderId="62" xfId="0" quotePrefix="1" applyNumberFormat="1" applyFont="1" applyFill="1" applyBorder="1"/>
    <xf numFmtId="164" fontId="4" fillId="0" borderId="56" xfId="0" applyNumberFormat="1" applyFont="1" applyFill="1" applyBorder="1" applyAlignment="1">
      <alignment horizontal="center"/>
    </xf>
    <xf numFmtId="0" fontId="4" fillId="0" borderId="47" xfId="0" applyFont="1" applyBorder="1"/>
    <xf numFmtId="2" fontId="4" fillId="0" borderId="62" xfId="0" applyNumberFormat="1" applyFont="1" applyBorder="1"/>
    <xf numFmtId="0" fontId="4" fillId="9" borderId="27" xfId="0" applyFont="1" applyFill="1" applyBorder="1" applyAlignment="1">
      <alignment horizontal="center"/>
    </xf>
    <xf numFmtId="2" fontId="4" fillId="9" borderId="18" xfId="0" applyNumberFormat="1" applyFont="1" applyFill="1" applyBorder="1"/>
    <xf numFmtId="0" fontId="4" fillId="0" borderId="27" xfId="0" applyFont="1" applyBorder="1" applyAlignment="1">
      <alignment horizontal="center"/>
    </xf>
    <xf numFmtId="164" fontId="4" fillId="0" borderId="45" xfId="0" applyNumberFormat="1" applyFont="1" applyFill="1" applyBorder="1" applyAlignment="1">
      <alignment horizontal="center"/>
    </xf>
    <xf numFmtId="2" fontId="4" fillId="9" borderId="61" xfId="0" applyNumberFormat="1" applyFont="1" applyFill="1" applyBorder="1"/>
    <xf numFmtId="164" fontId="4" fillId="6" borderId="56" xfId="0" applyNumberFormat="1" applyFont="1" applyFill="1" applyBorder="1" applyAlignment="1">
      <alignment horizontal="center"/>
    </xf>
    <xf numFmtId="164" fontId="4" fillId="9" borderId="62" xfId="0" applyNumberFormat="1" applyFont="1" applyFill="1" applyBorder="1" applyAlignment="1">
      <alignment horizontal="center"/>
    </xf>
    <xf numFmtId="2" fontId="4" fillId="9" borderId="62" xfId="0" applyNumberFormat="1" applyFont="1" applyFill="1" applyBorder="1" applyAlignment="1">
      <alignment horizontal="center"/>
    </xf>
    <xf numFmtId="2" fontId="4" fillId="9" borderId="47" xfId="0" applyNumberFormat="1" applyFont="1" applyFill="1" applyBorder="1" applyAlignment="1">
      <alignment horizontal="center"/>
    </xf>
    <xf numFmtId="2" fontId="4" fillId="9" borderId="55" xfId="0" applyNumberFormat="1" applyFont="1" applyFill="1" applyBorder="1" applyAlignment="1">
      <alignment horizontal="center"/>
    </xf>
    <xf numFmtId="164" fontId="4" fillId="9" borderId="55" xfId="0" applyNumberFormat="1" applyFont="1" applyFill="1" applyBorder="1" applyAlignment="1">
      <alignment horizontal="center"/>
    </xf>
    <xf numFmtId="1" fontId="4" fillId="9" borderId="55" xfId="0" applyNumberFormat="1" applyFont="1" applyFill="1" applyBorder="1" applyAlignment="1">
      <alignment horizontal="center"/>
    </xf>
    <xf numFmtId="0" fontId="4" fillId="0" borderId="55" xfId="0" applyFont="1" applyBorder="1" applyAlignment="1">
      <alignment horizontal="center"/>
    </xf>
    <xf numFmtId="2" fontId="4" fillId="2" borderId="8" xfId="0" applyNumberFormat="1" applyFont="1" applyFill="1" applyBorder="1"/>
    <xf numFmtId="2" fontId="4" fillId="2" borderId="55" xfId="0" applyNumberFormat="1" applyFont="1" applyFill="1" applyBorder="1" applyAlignment="1">
      <alignment horizontal="center"/>
    </xf>
    <xf numFmtId="2" fontId="4" fillId="2" borderId="47" xfId="0" applyNumberFormat="1" applyFont="1" applyFill="1" applyBorder="1"/>
    <xf numFmtId="164" fontId="4" fillId="2" borderId="62" xfId="0" applyNumberFormat="1" applyFont="1" applyFill="1" applyBorder="1" applyAlignment="1">
      <alignment horizontal="center"/>
    </xf>
    <xf numFmtId="2" fontId="4" fillId="2" borderId="62" xfId="0" applyNumberFormat="1" applyFont="1" applyFill="1" applyBorder="1" applyAlignment="1">
      <alignment horizontal="center"/>
    </xf>
    <xf numFmtId="2" fontId="4" fillId="2" borderId="47" xfId="0" applyNumberFormat="1" applyFont="1" applyFill="1" applyBorder="1" applyAlignment="1">
      <alignment horizontal="center"/>
    </xf>
    <xf numFmtId="2" fontId="4" fillId="0" borderId="8" xfId="0" applyNumberFormat="1" applyFont="1" applyBorder="1"/>
    <xf numFmtId="2" fontId="4" fillId="0" borderId="46" xfId="0" applyNumberFormat="1" applyFont="1" applyBorder="1"/>
    <xf numFmtId="2" fontId="4" fillId="3" borderId="4" xfId="0" applyNumberFormat="1" applyFont="1" applyFill="1" applyBorder="1" applyAlignment="1">
      <alignment horizontal="center"/>
    </xf>
    <xf numFmtId="0" fontId="4" fillId="0" borderId="61" xfId="0" applyFont="1" applyFill="1" applyBorder="1" applyAlignment="1">
      <alignment horizontal="center"/>
    </xf>
    <xf numFmtId="2" fontId="39" fillId="0" borderId="46" xfId="0" quotePrefix="1" applyNumberFormat="1" applyFont="1" applyFill="1" applyBorder="1"/>
    <xf numFmtId="164" fontId="4" fillId="0" borderId="47" xfId="0" applyNumberFormat="1" applyFont="1" applyFill="1" applyBorder="1" applyAlignment="1">
      <alignment horizontal="center"/>
    </xf>
    <xf numFmtId="2" fontId="4" fillId="0" borderId="47" xfId="0" applyNumberFormat="1" applyFont="1" applyFill="1" applyBorder="1" applyAlignment="1">
      <alignment horizontal="center"/>
    </xf>
    <xf numFmtId="1" fontId="4" fillId="0" borderId="55" xfId="0" applyNumberFormat="1" applyFont="1" applyFill="1" applyBorder="1" applyAlignment="1">
      <alignment horizontal="center"/>
    </xf>
    <xf numFmtId="0" fontId="4" fillId="0" borderId="46" xfId="0" applyNumberFormat="1" applyFont="1" applyFill="1" applyBorder="1" applyAlignment="1">
      <alignment horizontal="center"/>
    </xf>
    <xf numFmtId="164" fontId="4" fillId="0" borderId="32" xfId="0" applyNumberFormat="1" applyFont="1" applyFill="1" applyBorder="1" applyAlignment="1">
      <alignment horizontal="center"/>
    </xf>
    <xf numFmtId="164" fontId="4" fillId="0" borderId="38" xfId="0" applyNumberFormat="1" applyFont="1" applyFill="1" applyBorder="1" applyAlignment="1">
      <alignment horizontal="center"/>
    </xf>
    <xf numFmtId="0" fontId="0" fillId="0" borderId="41" xfId="0" applyFill="1" applyBorder="1"/>
    <xf numFmtId="0" fontId="0" fillId="0" borderId="15" xfId="0" applyFill="1" applyBorder="1"/>
    <xf numFmtId="165" fontId="4" fillId="0" borderId="4" xfId="0" applyNumberFormat="1" applyFont="1" applyFill="1" applyBorder="1" applyAlignment="1">
      <alignment horizontal="center"/>
    </xf>
    <xf numFmtId="165" fontId="4" fillId="0" borderId="14" xfId="0" applyNumberFormat="1" applyFont="1" applyFill="1" applyBorder="1" applyAlignment="1">
      <alignment horizontal="center"/>
    </xf>
    <xf numFmtId="0" fontId="9" fillId="5" borderId="34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10" fillId="0" borderId="0" xfId="0" applyNumberFormat="1" applyFont="1" applyFill="1" applyBorder="1"/>
    <xf numFmtId="2" fontId="4" fillId="0" borderId="0" xfId="0" applyNumberFormat="1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vertical="center"/>
    </xf>
    <xf numFmtId="2" fontId="10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vertical="center"/>
    </xf>
    <xf numFmtId="164" fontId="10" fillId="0" borderId="0" xfId="0" applyNumberFormat="1" applyFont="1" applyBorder="1" applyAlignment="1">
      <alignment horizontal="center" vertical="center"/>
    </xf>
    <xf numFmtId="0" fontId="0" fillId="0" borderId="32" xfId="0" applyFill="1" applyBorder="1"/>
    <xf numFmtId="0" fontId="0" fillId="0" borderId="32" xfId="0" applyFill="1" applyBorder="1" applyAlignment="1">
      <alignment horizontal="right"/>
    </xf>
    <xf numFmtId="2" fontId="10" fillId="0" borderId="41" xfId="0" applyNumberFormat="1" applyFont="1" applyFill="1" applyBorder="1" applyAlignment="1">
      <alignment vertical="center"/>
    </xf>
    <xf numFmtId="164" fontId="10" fillId="0" borderId="40" xfId="0" applyNumberFormat="1" applyFont="1" applyBorder="1" applyAlignment="1">
      <alignment horizontal="center" vertical="center"/>
    </xf>
    <xf numFmtId="0" fontId="9" fillId="0" borderId="18" xfId="0" applyFont="1" applyFill="1" applyBorder="1" applyAlignment="1">
      <alignment horizontal="center"/>
    </xf>
    <xf numFmtId="2" fontId="10" fillId="0" borderId="2" xfId="0" applyNumberFormat="1" applyFont="1" applyFill="1" applyBorder="1"/>
    <xf numFmtId="2" fontId="10" fillId="0" borderId="4" xfId="0" applyNumberFormat="1" applyFont="1" applyBorder="1" applyAlignment="1">
      <alignment horizontal="center"/>
    </xf>
    <xf numFmtId="2" fontId="10" fillId="0" borderId="14" xfId="0" applyNumberFormat="1" applyFont="1" applyBorder="1" applyAlignment="1">
      <alignment vertical="center"/>
    </xf>
    <xf numFmtId="2" fontId="4" fillId="0" borderId="2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2" fontId="4" fillId="0" borderId="0" xfId="0" applyNumberFormat="1" applyFont="1" applyFill="1" applyBorder="1"/>
    <xf numFmtId="0" fontId="0" fillId="0" borderId="28" xfId="0" applyFill="1" applyBorder="1"/>
    <xf numFmtId="0" fontId="0" fillId="0" borderId="0" xfId="0" applyBorder="1" applyAlignment="1"/>
    <xf numFmtId="0" fontId="30" fillId="0" borderId="16" xfId="0" applyFont="1" applyBorder="1" applyAlignment="1">
      <alignment horizontal="center"/>
    </xf>
    <xf numFmtId="0" fontId="30" fillId="0" borderId="27" xfId="0" applyFont="1" applyBorder="1" applyAlignment="1">
      <alignment horizontal="center"/>
    </xf>
    <xf numFmtId="0" fontId="24" fillId="5" borderId="27" xfId="0" applyFont="1" applyFill="1" applyBorder="1" applyAlignment="1">
      <alignment horizontal="center" vertical="center"/>
    </xf>
    <xf numFmtId="0" fontId="48" fillId="5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40" xfId="0" applyBorder="1" applyAlignment="1"/>
    <xf numFmtId="0" fontId="3" fillId="0" borderId="40" xfId="0" applyFont="1" applyBorder="1" applyAlignment="1"/>
    <xf numFmtId="0" fontId="0" fillId="5" borderId="28" xfId="0" applyFill="1" applyBorder="1" applyAlignment="1">
      <alignment horizontal="center"/>
    </xf>
    <xf numFmtId="2" fontId="0" fillId="0" borderId="49" xfId="0" applyNumberFormat="1" applyFill="1" applyBorder="1" applyAlignment="1">
      <alignment horizontal="center"/>
    </xf>
    <xf numFmtId="2" fontId="0" fillId="0" borderId="32" xfId="0" applyNumberFormat="1" applyFill="1" applyBorder="1" applyAlignment="1"/>
    <xf numFmtId="2" fontId="0" fillId="0" borderId="36" xfId="0" applyNumberFormat="1" applyFill="1" applyBorder="1" applyAlignment="1">
      <alignment horizontal="center"/>
    </xf>
    <xf numFmtId="2" fontId="0" fillId="0" borderId="34" xfId="0" applyNumberFormat="1" applyFill="1" applyBorder="1" applyAlignment="1"/>
    <xf numFmtId="165" fontId="0" fillId="0" borderId="36" xfId="0" applyNumberFormat="1" applyBorder="1" applyAlignment="1">
      <alignment horizontal="center"/>
    </xf>
    <xf numFmtId="165" fontId="0" fillId="0" borderId="34" xfId="0" applyNumberFormat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8" fillId="12" borderId="32" xfId="0" applyFont="1" applyFill="1" applyBorder="1" applyAlignment="1">
      <alignment horizontal="center"/>
    </xf>
    <xf numFmtId="0" fontId="22" fillId="12" borderId="0" xfId="0" applyFont="1" applyFill="1" applyBorder="1" applyAlignment="1">
      <alignment horizontal="center"/>
    </xf>
    <xf numFmtId="0" fontId="0" fillId="12" borderId="32" xfId="0" applyFill="1" applyBorder="1"/>
    <xf numFmtId="0" fontId="0" fillId="12" borderId="0" xfId="0" applyFill="1" applyBorder="1"/>
    <xf numFmtId="0" fontId="0" fillId="12" borderId="41" xfId="0" applyFill="1" applyBorder="1"/>
    <xf numFmtId="0" fontId="0" fillId="12" borderId="34" xfId="0" applyFill="1" applyBorder="1" applyAlignment="1">
      <alignment horizontal="center"/>
    </xf>
    <xf numFmtId="0" fontId="21" fillId="12" borderId="18" xfId="0" applyFont="1" applyFill="1" applyBorder="1" applyAlignment="1">
      <alignment horizontal="center"/>
    </xf>
    <xf numFmtId="0" fontId="21" fillId="12" borderId="45" xfId="0" applyFont="1" applyFill="1" applyBorder="1" applyAlignment="1">
      <alignment horizontal="center"/>
    </xf>
    <xf numFmtId="0" fontId="21" fillId="12" borderId="34" xfId="0" applyFont="1" applyFill="1" applyBorder="1" applyAlignment="1">
      <alignment horizontal="center" vertical="center"/>
    </xf>
    <xf numFmtId="0" fontId="21" fillId="12" borderId="18" xfId="0" applyFont="1" applyFill="1" applyBorder="1" applyAlignment="1">
      <alignment horizontal="center" vertical="center"/>
    </xf>
    <xf numFmtId="0" fontId="21" fillId="12" borderId="45" xfId="0" applyFont="1" applyFill="1" applyBorder="1" applyAlignment="1">
      <alignment horizontal="center" vertical="center"/>
    </xf>
    <xf numFmtId="0" fontId="0" fillId="12" borderId="32" xfId="0" applyNumberFormat="1" applyFill="1" applyBorder="1" applyAlignment="1">
      <alignment horizontal="center"/>
    </xf>
    <xf numFmtId="165" fontId="0" fillId="12" borderId="0" xfId="0" applyNumberFormat="1" applyFill="1" applyBorder="1" applyAlignment="1">
      <alignment horizontal="center"/>
    </xf>
    <xf numFmtId="2" fontId="0" fillId="12" borderId="0" xfId="0" applyNumberFormat="1" applyFill="1" applyBorder="1" applyAlignment="1">
      <alignment horizontal="center"/>
    </xf>
    <xf numFmtId="165" fontId="0" fillId="12" borderId="41" xfId="0" applyNumberFormat="1" applyFill="1" applyBorder="1" applyAlignment="1">
      <alignment horizontal="center"/>
    </xf>
    <xf numFmtId="0" fontId="0" fillId="12" borderId="32" xfId="0" applyFill="1" applyBorder="1" applyAlignment="1">
      <alignment horizontal="center" vertical="center"/>
    </xf>
    <xf numFmtId="164" fontId="0" fillId="12" borderId="0" xfId="0" applyNumberFormat="1" applyFill="1" applyBorder="1" applyAlignment="1">
      <alignment horizontal="center" vertical="center"/>
    </xf>
    <xf numFmtId="164" fontId="0" fillId="12" borderId="41" xfId="0" applyNumberFormat="1" applyFill="1" applyBorder="1" applyAlignment="1">
      <alignment horizontal="center" vertical="center"/>
    </xf>
    <xf numFmtId="164" fontId="0" fillId="12" borderId="32" xfId="0" applyNumberFormat="1" applyFill="1" applyBorder="1" applyAlignment="1">
      <alignment horizontal="center" vertical="center"/>
    </xf>
    <xf numFmtId="165" fontId="0" fillId="12" borderId="32" xfId="0" applyNumberFormat="1" applyFill="1" applyBorder="1" applyAlignment="1">
      <alignment horizontal="center"/>
    </xf>
    <xf numFmtId="0" fontId="0" fillId="12" borderId="40" xfId="0" applyFill="1" applyBorder="1"/>
    <xf numFmtId="2" fontId="0" fillId="12" borderId="40" xfId="0" applyNumberFormat="1" applyFill="1" applyBorder="1" applyAlignment="1">
      <alignment horizontal="center"/>
    </xf>
    <xf numFmtId="0" fontId="0" fillId="12" borderId="15" xfId="0" applyFill="1" applyBorder="1"/>
    <xf numFmtId="0" fontId="0" fillId="12" borderId="38" xfId="0" applyNumberFormat="1" applyFill="1" applyBorder="1" applyAlignment="1">
      <alignment horizontal="center"/>
    </xf>
    <xf numFmtId="165" fontId="0" fillId="12" borderId="40" xfId="0" applyNumberFormat="1" applyFill="1" applyBorder="1" applyAlignment="1">
      <alignment horizontal="center"/>
    </xf>
    <xf numFmtId="165" fontId="0" fillId="12" borderId="15" xfId="0" applyNumberFormat="1" applyFill="1" applyBorder="1" applyAlignment="1">
      <alignment horizontal="center"/>
    </xf>
    <xf numFmtId="164" fontId="0" fillId="12" borderId="26" xfId="0" applyNumberFormat="1" applyFill="1" applyBorder="1" applyAlignment="1">
      <alignment horizontal="center" vertical="center"/>
    </xf>
    <xf numFmtId="164" fontId="0" fillId="12" borderId="3" xfId="0" applyNumberFormat="1" applyFill="1" applyBorder="1" applyAlignment="1">
      <alignment horizontal="center" vertical="center"/>
    </xf>
    <xf numFmtId="164" fontId="0" fillId="12" borderId="7" xfId="0" applyNumberFormat="1" applyFill="1" applyBorder="1" applyAlignment="1">
      <alignment horizontal="center" vertical="center"/>
    </xf>
    <xf numFmtId="164" fontId="0" fillId="12" borderId="17" xfId="0" applyNumberFormat="1" applyFill="1" applyBorder="1" applyAlignment="1">
      <alignment horizontal="center" vertical="center"/>
    </xf>
    <xf numFmtId="164" fontId="0" fillId="12" borderId="5" xfId="0" applyNumberFormat="1" applyFill="1" applyBorder="1" applyAlignment="1">
      <alignment horizontal="center" vertical="center"/>
    </xf>
    <xf numFmtId="164" fontId="0" fillId="12" borderId="6" xfId="0" applyNumberFormat="1" applyFill="1" applyBorder="1" applyAlignment="1">
      <alignment horizontal="center" vertical="center"/>
    </xf>
    <xf numFmtId="164" fontId="0" fillId="12" borderId="21" xfId="0" applyNumberFormat="1" applyFill="1" applyBorder="1" applyAlignment="1">
      <alignment horizontal="center" vertical="center"/>
    </xf>
    <xf numFmtId="0" fontId="0" fillId="12" borderId="21" xfId="0" applyFill="1" applyBorder="1"/>
    <xf numFmtId="0" fontId="0" fillId="12" borderId="17" xfId="0" applyFill="1" applyBorder="1"/>
    <xf numFmtId="0" fontId="21" fillId="0" borderId="0" xfId="0" applyFont="1" applyBorder="1" applyAlignment="1">
      <alignment horizontal="center"/>
    </xf>
    <xf numFmtId="168" fontId="0" fillId="0" borderId="0" xfId="0" applyNumberFormat="1" applyFill="1" applyBorder="1"/>
    <xf numFmtId="0" fontId="5" fillId="0" borderId="0" xfId="0" applyFont="1" applyFill="1" applyBorder="1" applyAlignment="1"/>
    <xf numFmtId="0" fontId="35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left"/>
    </xf>
    <xf numFmtId="0" fontId="6" fillId="0" borderId="0" xfId="0" applyFont="1" applyFill="1" applyBorder="1" applyAlignment="1"/>
    <xf numFmtId="0" fontId="5" fillId="0" borderId="49" xfId="0" applyFont="1" applyBorder="1"/>
    <xf numFmtId="0" fontId="2" fillId="0" borderId="40" xfId="0" applyFont="1" applyBorder="1" applyAlignment="1"/>
    <xf numFmtId="0" fontId="0" fillId="0" borderId="15" xfId="0" applyBorder="1" applyAlignment="1"/>
    <xf numFmtId="0" fontId="4" fillId="5" borderId="7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 vertical="center"/>
    </xf>
    <xf numFmtId="0" fontId="4" fillId="5" borderId="40" xfId="0" applyFont="1" applyFill="1" applyBorder="1" applyAlignment="1">
      <alignment horizontal="center" vertical="center"/>
    </xf>
    <xf numFmtId="9" fontId="27" fillId="5" borderId="17" xfId="1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27" fillId="5" borderId="15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164" fontId="4" fillId="0" borderId="0" xfId="0" applyNumberFormat="1" applyFont="1" applyBorder="1"/>
    <xf numFmtId="2" fontId="4" fillId="3" borderId="6" xfId="0" applyNumberFormat="1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0" fillId="0" borderId="12" xfId="0" applyBorder="1"/>
    <xf numFmtId="0" fontId="0" fillId="9" borderId="12" xfId="0" applyFill="1" applyBorder="1"/>
    <xf numFmtId="0" fontId="4" fillId="3" borderId="27" xfId="0" applyFont="1" applyFill="1" applyBorder="1" applyAlignment="1">
      <alignment horizontal="center"/>
    </xf>
    <xf numFmtId="0" fontId="4" fillId="0" borderId="12" xfId="0" applyFont="1" applyBorder="1"/>
    <xf numFmtId="0" fontId="4" fillId="3" borderId="12" xfId="0" applyFont="1" applyFill="1" applyBorder="1"/>
    <xf numFmtId="0" fontId="4" fillId="9" borderId="16" xfId="0" applyFont="1" applyFill="1" applyBorder="1" applyAlignment="1">
      <alignment horizontal="center"/>
    </xf>
    <xf numFmtId="0" fontId="4" fillId="0" borderId="12" xfId="0" applyFont="1" applyFill="1" applyBorder="1"/>
    <xf numFmtId="0" fontId="4" fillId="2" borderId="27" xfId="0" applyFont="1" applyFill="1" applyBorder="1" applyAlignment="1">
      <alignment horizontal="center"/>
    </xf>
    <xf numFmtId="0" fontId="4" fillId="9" borderId="12" xfId="0" applyFont="1" applyFill="1" applyBorder="1"/>
    <xf numFmtId="0" fontId="4" fillId="0" borderId="27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40" xfId="0" applyFont="1" applyFill="1" applyBorder="1" applyAlignment="1">
      <alignment horizontal="center"/>
    </xf>
    <xf numFmtId="2" fontId="39" fillId="0" borderId="17" xfId="0" quotePrefix="1" applyNumberFormat="1" applyFont="1" applyFill="1" applyBorder="1"/>
    <xf numFmtId="2" fontId="4" fillId="3" borderId="17" xfId="0" applyNumberFormat="1" applyFont="1" applyFill="1" applyBorder="1" applyAlignment="1">
      <alignment horizontal="center"/>
    </xf>
    <xf numFmtId="2" fontId="4" fillId="0" borderId="9" xfId="1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13" fillId="5" borderId="28" xfId="0" applyFont="1" applyFill="1" applyBorder="1" applyAlignment="1">
      <alignment horizontal="center"/>
    </xf>
    <xf numFmtId="1" fontId="4" fillId="0" borderId="28" xfId="0" applyNumberFormat="1" applyFont="1" applyBorder="1" applyAlignment="1">
      <alignment horizontal="center"/>
    </xf>
    <xf numFmtId="165" fontId="4" fillId="0" borderId="41" xfId="0" applyNumberFormat="1" applyFont="1" applyFill="1" applyBorder="1" applyAlignment="1">
      <alignment horizontal="center"/>
    </xf>
    <xf numFmtId="0" fontId="30" fillId="0" borderId="41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30" fillId="9" borderId="45" xfId="0" applyFont="1" applyFill="1" applyBorder="1" applyAlignment="1">
      <alignment horizontal="center"/>
    </xf>
    <xf numFmtId="164" fontId="4" fillId="3" borderId="9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165" fontId="4" fillId="9" borderId="4" xfId="0" applyNumberFormat="1" applyFont="1" applyFill="1" applyBorder="1" applyAlignment="1">
      <alignment horizontal="center"/>
    </xf>
    <xf numFmtId="165" fontId="4" fillId="9" borderId="1" xfId="0" applyNumberFormat="1" applyFont="1" applyFill="1" applyBorder="1" applyAlignment="1">
      <alignment horizontal="center"/>
    </xf>
    <xf numFmtId="9" fontId="4" fillId="5" borderId="14" xfId="1" applyFont="1" applyFill="1" applyBorder="1" applyAlignment="1">
      <alignment horizontal="center" vertical="center"/>
    </xf>
    <xf numFmtId="9" fontId="4" fillId="5" borderId="40" xfId="1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/>
    </xf>
    <xf numFmtId="0" fontId="27" fillId="5" borderId="40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/>
    </xf>
    <xf numFmtId="0" fontId="4" fillId="5" borderId="41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0" fontId="10" fillId="5" borderId="28" xfId="0" applyFont="1" applyFill="1" applyBorder="1" applyAlignment="1">
      <alignment horizontal="center"/>
    </xf>
    <xf numFmtId="0" fontId="3" fillId="5" borderId="29" xfId="0" applyFont="1" applyFill="1" applyBorder="1" applyAlignment="1">
      <alignment horizontal="center"/>
    </xf>
    <xf numFmtId="0" fontId="10" fillId="5" borderId="10" xfId="0" applyFont="1" applyFill="1" applyBorder="1" applyAlignment="1"/>
    <xf numFmtId="0" fontId="4" fillId="5" borderId="16" xfId="0" applyFont="1" applyFill="1" applyBorder="1" applyAlignment="1">
      <alignment horizontal="center"/>
    </xf>
    <xf numFmtId="0" fontId="4" fillId="5" borderId="41" xfId="0" applyFont="1" applyFill="1" applyBorder="1" applyAlignment="1">
      <alignment horizontal="left"/>
    </xf>
    <xf numFmtId="0" fontId="12" fillId="5" borderId="16" xfId="0" applyFont="1" applyFill="1" applyBorder="1" applyAlignment="1">
      <alignment horizontal="center"/>
    </xf>
    <xf numFmtId="0" fontId="27" fillId="5" borderId="0" xfId="0" applyFont="1" applyFill="1" applyBorder="1" applyAlignment="1">
      <alignment horizontal="center"/>
    </xf>
    <xf numFmtId="0" fontId="22" fillId="5" borderId="41" xfId="0" applyFont="1" applyFill="1" applyBorder="1" applyAlignment="1">
      <alignment horizontal="center"/>
    </xf>
    <xf numFmtId="0" fontId="14" fillId="5" borderId="16" xfId="0" applyFont="1" applyFill="1" applyBorder="1" applyAlignment="1">
      <alignment horizontal="center"/>
    </xf>
    <xf numFmtId="0" fontId="27" fillId="5" borderId="16" xfId="0" applyFont="1" applyFill="1" applyBorder="1" applyAlignment="1">
      <alignment horizontal="center"/>
    </xf>
    <xf numFmtId="0" fontId="22" fillId="5" borderId="4" xfId="0" applyFont="1" applyFill="1" applyBorder="1" applyAlignment="1">
      <alignment horizontal="center"/>
    </xf>
    <xf numFmtId="0" fontId="22" fillId="5" borderId="0" xfId="0" applyFont="1" applyFill="1" applyBorder="1" applyAlignment="1">
      <alignment horizontal="center"/>
    </xf>
    <xf numFmtId="0" fontId="27" fillId="5" borderId="0" xfId="0" applyFont="1" applyFill="1" applyAlignment="1">
      <alignment horizontal="center"/>
    </xf>
    <xf numFmtId="0" fontId="4" fillId="5" borderId="16" xfId="0" applyFont="1" applyFill="1" applyBorder="1"/>
    <xf numFmtId="0" fontId="10" fillId="5" borderId="6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9" fontId="4" fillId="5" borderId="32" xfId="1" applyFont="1" applyFill="1" applyBorder="1" applyAlignment="1">
      <alignment horizontal="center"/>
    </xf>
    <xf numFmtId="0" fontId="22" fillId="5" borderId="16" xfId="0" applyFont="1" applyFill="1" applyBorder="1" applyAlignment="1">
      <alignment horizontal="center"/>
    </xf>
    <xf numFmtId="168" fontId="1" fillId="5" borderId="13" xfId="0" applyNumberFormat="1" applyFont="1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5" borderId="40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9" fontId="4" fillId="5" borderId="38" xfId="1" applyFont="1" applyFill="1" applyBorder="1" applyAlignment="1">
      <alignment horizontal="center"/>
    </xf>
    <xf numFmtId="0" fontId="8" fillId="5" borderId="21" xfId="0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10" fillId="5" borderId="22" xfId="0" applyFont="1" applyFill="1" applyBorder="1" applyAlignment="1">
      <alignment horizontal="center"/>
    </xf>
    <xf numFmtId="2" fontId="0" fillId="9" borderId="33" xfId="0" applyNumberFormat="1" applyFill="1" applyBorder="1" applyAlignment="1">
      <alignment horizontal="center"/>
    </xf>
    <xf numFmtId="0" fontId="0" fillId="12" borderId="29" xfId="0" applyFill="1" applyBorder="1" applyAlignment="1">
      <alignment horizontal="center"/>
    </xf>
    <xf numFmtId="0" fontId="0" fillId="12" borderId="40" xfId="0" applyFill="1" applyBorder="1" applyAlignment="1">
      <alignment horizontal="center" vertical="center"/>
    </xf>
    <xf numFmtId="2" fontId="0" fillId="12" borderId="29" xfId="0" applyNumberFormat="1" applyFill="1" applyBorder="1" applyAlignment="1">
      <alignment horizontal="center"/>
    </xf>
    <xf numFmtId="0" fontId="0" fillId="12" borderId="28" xfId="0" applyFill="1" applyBorder="1"/>
    <xf numFmtId="0" fontId="0" fillId="12" borderId="0" xfId="0" applyFill="1"/>
    <xf numFmtId="0" fontId="0" fillId="8" borderId="59" xfId="0" applyFill="1" applyBorder="1" applyAlignment="1">
      <alignment horizontal="center"/>
    </xf>
    <xf numFmtId="0" fontId="0" fillId="8" borderId="60" xfId="0" applyFill="1" applyBorder="1" applyAlignment="1">
      <alignment horizontal="center"/>
    </xf>
    <xf numFmtId="0" fontId="46" fillId="12" borderId="34" xfId="2" applyFill="1" applyBorder="1"/>
    <xf numFmtId="0" fontId="0" fillId="12" borderId="18" xfId="0" applyFill="1" applyBorder="1"/>
    <xf numFmtId="2" fontId="0" fillId="12" borderId="45" xfId="0" applyNumberFormat="1" applyFill="1" applyBorder="1" applyAlignment="1">
      <alignment horizontal="center"/>
    </xf>
    <xf numFmtId="165" fontId="0" fillId="12" borderId="21" xfId="0" applyNumberFormat="1" applyFill="1" applyBorder="1" applyAlignment="1">
      <alignment horizontal="center"/>
    </xf>
    <xf numFmtId="0" fontId="22" fillId="12" borderId="4" xfId="0" applyFont="1" applyFill="1" applyBorder="1" applyAlignment="1">
      <alignment horizontal="center"/>
    </xf>
    <xf numFmtId="0" fontId="31" fillId="12" borderId="1" xfId="0" applyFont="1" applyFill="1" applyBorder="1" applyAlignment="1">
      <alignment horizontal="center"/>
    </xf>
    <xf numFmtId="165" fontId="0" fillId="12" borderId="4" xfId="0" applyNumberFormat="1" applyFill="1" applyBorder="1" applyAlignment="1">
      <alignment horizontal="center"/>
    </xf>
    <xf numFmtId="165" fontId="0" fillId="12" borderId="14" xfId="0" applyNumberFormat="1" applyFill="1" applyBorder="1" applyAlignment="1">
      <alignment horizontal="center"/>
    </xf>
    <xf numFmtId="0" fontId="21" fillId="12" borderId="9" xfId="0" applyFont="1" applyFill="1" applyBorder="1" applyAlignment="1">
      <alignment horizontal="center"/>
    </xf>
    <xf numFmtId="165" fontId="0" fillId="12" borderId="7" xfId="0" applyNumberFormat="1" applyFill="1" applyBorder="1" applyAlignment="1">
      <alignment horizontal="center"/>
    </xf>
    <xf numFmtId="165" fontId="0" fillId="12" borderId="17" xfId="0" applyNumberFormat="1" applyFill="1" applyBorder="1" applyAlignment="1">
      <alignment horizontal="center"/>
    </xf>
    <xf numFmtId="165" fontId="0" fillId="12" borderId="2" xfId="0" applyNumberFormat="1" applyFill="1" applyBorder="1" applyAlignment="1">
      <alignment horizontal="center"/>
    </xf>
    <xf numFmtId="0" fontId="31" fillId="12" borderId="9" xfId="0" applyFont="1" applyFill="1" applyBorder="1" applyAlignment="1">
      <alignment horizontal="center"/>
    </xf>
    <xf numFmtId="0" fontId="21" fillId="12" borderId="1" xfId="0" applyFont="1" applyFill="1" applyBorder="1" applyAlignment="1">
      <alignment horizontal="center"/>
    </xf>
    <xf numFmtId="2" fontId="8" fillId="12" borderId="4" xfId="0" applyNumberFormat="1" applyFont="1" applyFill="1" applyBorder="1" applyAlignment="1">
      <alignment horizontal="center"/>
    </xf>
    <xf numFmtId="1" fontId="53" fillId="0" borderId="12" xfId="0" applyNumberFormat="1" applyFont="1" applyBorder="1" applyAlignment="1">
      <alignment horizontal="center"/>
    </xf>
    <xf numFmtId="0" fontId="53" fillId="0" borderId="45" xfId="0" applyFont="1" applyBorder="1" applyAlignment="1">
      <alignment horizontal="center"/>
    </xf>
    <xf numFmtId="1" fontId="53" fillId="9" borderId="16" xfId="0" applyNumberFormat="1" applyFont="1" applyFill="1" applyBorder="1" applyAlignment="1">
      <alignment horizontal="center"/>
    </xf>
    <xf numFmtId="1" fontId="53" fillId="0" borderId="16" xfId="0" applyNumberFormat="1" applyFont="1" applyFill="1" applyBorder="1" applyAlignment="1">
      <alignment horizontal="center"/>
    </xf>
    <xf numFmtId="1" fontId="53" fillId="0" borderId="16" xfId="0" applyNumberFormat="1" applyFont="1" applyBorder="1" applyAlignment="1">
      <alignment horizontal="center"/>
    </xf>
    <xf numFmtId="0" fontId="53" fillId="0" borderId="41" xfId="0" applyFont="1" applyBorder="1" applyAlignment="1">
      <alignment horizontal="center"/>
    </xf>
    <xf numFmtId="0" fontId="53" fillId="9" borderId="45" xfId="0" applyFont="1" applyFill="1" applyBorder="1" applyAlignment="1">
      <alignment horizontal="center"/>
    </xf>
    <xf numFmtId="0" fontId="53" fillId="0" borderId="45" xfId="0" applyFont="1" applyFill="1" applyBorder="1" applyAlignment="1">
      <alignment horizontal="center"/>
    </xf>
    <xf numFmtId="0" fontId="0" fillId="5" borderId="7" xfId="0" applyFill="1" applyBorder="1"/>
    <xf numFmtId="1" fontId="0" fillId="9" borderId="0" xfId="0" applyNumberFormat="1" applyFill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69" fontId="0" fillId="9" borderId="4" xfId="0" applyNumberFormat="1" applyFill="1" applyBorder="1"/>
    <xf numFmtId="165" fontId="0" fillId="0" borderId="0" xfId="0" applyNumberFormat="1" applyFill="1" applyBorder="1" applyAlignment="1">
      <alignment horizontal="center"/>
    </xf>
    <xf numFmtId="0" fontId="0" fillId="9" borderId="0" xfId="0" applyFill="1" applyBorder="1" applyAlignment="1"/>
    <xf numFmtId="0" fontId="0" fillId="0" borderId="0" xfId="0" applyBorder="1" applyAlignment="1">
      <alignment horizontal="center"/>
    </xf>
    <xf numFmtId="0" fontId="24" fillId="5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2" fontId="0" fillId="9" borderId="0" xfId="0" applyNumberFormat="1" applyFill="1" applyBorder="1" applyAlignment="1">
      <alignment horizontal="center"/>
    </xf>
    <xf numFmtId="164" fontId="31" fillId="0" borderId="0" xfId="0" applyNumberFormat="1" applyFont="1" applyFill="1" applyBorder="1" applyAlignment="1">
      <alignment horizontal="center"/>
    </xf>
    <xf numFmtId="0" fontId="48" fillId="0" borderId="2" xfId="0" applyFont="1" applyBorder="1" applyAlignment="1">
      <alignment horizontal="center" vertical="center"/>
    </xf>
    <xf numFmtId="2" fontId="31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0" fillId="0" borderId="1" xfId="0" applyBorder="1" applyAlignment="1">
      <alignment horizontal="center"/>
    </xf>
    <xf numFmtId="0" fontId="4" fillId="5" borderId="13" xfId="0" applyFont="1" applyFill="1" applyBorder="1" applyAlignment="1"/>
    <xf numFmtId="0" fontId="10" fillId="0" borderId="16" xfId="0" applyFont="1" applyBorder="1"/>
    <xf numFmtId="0" fontId="10" fillId="5" borderId="16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0" fillId="0" borderId="0" xfId="0" applyFill="1" applyBorder="1" applyAlignment="1"/>
    <xf numFmtId="0" fontId="3" fillId="0" borderId="0" xfId="0" applyFont="1" applyAlignment="1">
      <alignment horizontal="center"/>
    </xf>
    <xf numFmtId="165" fontId="4" fillId="0" borderId="28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right"/>
    </xf>
    <xf numFmtId="0" fontId="3" fillId="0" borderId="0" xfId="0" applyFont="1"/>
    <xf numFmtId="0" fontId="1" fillId="0" borderId="0" xfId="0" applyFont="1" applyFill="1" applyBorder="1" applyAlignment="1">
      <alignment horizontal="right"/>
    </xf>
    <xf numFmtId="2" fontId="0" fillId="5" borderId="7" xfId="0" applyNumberFormat="1" applyFill="1" applyBorder="1" applyAlignment="1">
      <alignment horizontal="center"/>
    </xf>
    <xf numFmtId="0" fontId="0" fillId="0" borderId="62" xfId="0" applyBorder="1"/>
    <xf numFmtId="168" fontId="0" fillId="5" borderId="61" xfId="0" applyNumberFormat="1" applyFill="1" applyBorder="1"/>
    <xf numFmtId="1" fontId="3" fillId="5" borderId="47" xfId="0" applyNumberFormat="1" applyFont="1" applyFill="1" applyBorder="1" applyAlignment="1">
      <alignment horizontal="center"/>
    </xf>
    <xf numFmtId="0" fontId="1" fillId="5" borderId="47" xfId="0" applyFont="1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/>
    <xf numFmtId="165" fontId="0" fillId="0" borderId="0" xfId="0" applyNumberForma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41" xfId="0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9" fontId="12" fillId="5" borderId="23" xfId="1" applyFont="1" applyFill="1" applyBorder="1" applyAlignment="1">
      <alignment horizontal="center" vertical="center"/>
    </xf>
    <xf numFmtId="164" fontId="4" fillId="0" borderId="24" xfId="1" applyNumberFormat="1" applyFont="1" applyFill="1" applyBorder="1" applyAlignment="1">
      <alignment horizontal="center"/>
    </xf>
    <xf numFmtId="164" fontId="4" fillId="0" borderId="22" xfId="0" applyNumberFormat="1" applyFont="1" applyBorder="1" applyAlignment="1">
      <alignment horizontal="center"/>
    </xf>
    <xf numFmtId="164" fontId="4" fillId="6" borderId="54" xfId="0" applyNumberFormat="1" applyFont="1" applyFill="1" applyBorder="1" applyAlignment="1">
      <alignment horizontal="center"/>
    </xf>
    <xf numFmtId="164" fontId="4" fillId="3" borderId="24" xfId="0" applyNumberFormat="1" applyFont="1" applyFill="1" applyBorder="1" applyAlignment="1">
      <alignment horizontal="center"/>
    </xf>
    <xf numFmtId="164" fontId="4" fillId="0" borderId="24" xfId="0" applyNumberFormat="1" applyFont="1" applyBorder="1" applyAlignment="1">
      <alignment horizontal="center"/>
    </xf>
    <xf numFmtId="164" fontId="4" fillId="0" borderId="54" xfId="0" applyNumberFormat="1" applyFont="1" applyBorder="1" applyAlignment="1">
      <alignment horizontal="center"/>
    </xf>
    <xf numFmtId="164" fontId="4" fillId="3" borderId="54" xfId="0" applyNumberFormat="1" applyFont="1" applyFill="1" applyBorder="1" applyAlignment="1">
      <alignment horizontal="center"/>
    </xf>
    <xf numFmtId="164" fontId="4" fillId="6" borderId="24" xfId="0" applyNumberFormat="1" applyFont="1" applyFill="1" applyBorder="1" applyAlignment="1">
      <alignment horizontal="center"/>
    </xf>
    <xf numFmtId="164" fontId="4" fillId="0" borderId="54" xfId="0" applyNumberFormat="1" applyFont="1" applyFill="1" applyBorder="1" applyAlignment="1">
      <alignment horizontal="center"/>
    </xf>
    <xf numFmtId="164" fontId="4" fillId="0" borderId="24" xfId="0" applyNumberFormat="1" applyFont="1" applyFill="1" applyBorder="1" applyAlignment="1">
      <alignment horizontal="center"/>
    </xf>
    <xf numFmtId="9" fontId="12" fillId="5" borderId="15" xfId="1" applyFont="1" applyFill="1" applyBorder="1" applyAlignment="1">
      <alignment horizontal="center" vertical="center"/>
    </xf>
    <xf numFmtId="164" fontId="4" fillId="0" borderId="48" xfId="1" applyNumberFormat="1" applyFont="1" applyFill="1" applyBorder="1" applyAlignment="1">
      <alignment horizontal="center"/>
    </xf>
    <xf numFmtId="164" fontId="4" fillId="0" borderId="56" xfId="1" applyNumberFormat="1" applyFont="1" applyFill="1" applyBorder="1" applyAlignment="1">
      <alignment horizontal="center"/>
    </xf>
    <xf numFmtId="164" fontId="4" fillId="0" borderId="41" xfId="0" applyNumberFormat="1" applyFont="1" applyBorder="1" applyAlignment="1">
      <alignment horizontal="center"/>
    </xf>
    <xf numFmtId="164" fontId="4" fillId="0" borderId="45" xfId="0" applyNumberFormat="1" applyFont="1" applyBorder="1" applyAlignment="1">
      <alignment horizontal="center"/>
    </xf>
    <xf numFmtId="164" fontId="4" fillId="6" borderId="41" xfId="0" applyNumberFormat="1" applyFont="1" applyFill="1" applyBorder="1" applyAlignment="1">
      <alignment horizontal="center"/>
    </xf>
    <xf numFmtId="164" fontId="4" fillId="3" borderId="45" xfId="0" applyNumberFormat="1" applyFont="1" applyFill="1" applyBorder="1" applyAlignment="1">
      <alignment horizontal="center"/>
    </xf>
    <xf numFmtId="164" fontId="4" fillId="3" borderId="56" xfId="0" applyNumberFormat="1" applyFont="1" applyFill="1" applyBorder="1" applyAlignment="1">
      <alignment horizontal="center"/>
    </xf>
    <xf numFmtId="164" fontId="4" fillId="3" borderId="41" xfId="0" applyNumberFormat="1" applyFont="1" applyFill="1" applyBorder="1" applyAlignment="1">
      <alignment horizontal="center"/>
    </xf>
    <xf numFmtId="164" fontId="4" fillId="6" borderId="45" xfId="0" applyNumberFormat="1" applyFont="1" applyFill="1" applyBorder="1" applyAlignment="1">
      <alignment horizontal="center"/>
    </xf>
    <xf numFmtId="164" fontId="4" fillId="0" borderId="41" xfId="0" applyNumberFormat="1" applyFont="1" applyFill="1" applyBorder="1" applyAlignment="1">
      <alignment horizontal="center"/>
    </xf>
    <xf numFmtId="164" fontId="4" fillId="3" borderId="15" xfId="0" applyNumberFormat="1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0" fillId="0" borderId="16" xfId="0" applyBorder="1"/>
    <xf numFmtId="0" fontId="0" fillId="9" borderId="16" xfId="0" applyFill="1" applyBorder="1"/>
    <xf numFmtId="0" fontId="4" fillId="3" borderId="5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164" fontId="4" fillId="0" borderId="39" xfId="0" applyNumberFormat="1" applyFont="1" applyFill="1" applyBorder="1" applyAlignment="1">
      <alignment horizontal="center"/>
    </xf>
    <xf numFmtId="2" fontId="4" fillId="0" borderId="63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2" fontId="4" fillId="9" borderId="8" xfId="0" applyNumberFormat="1" applyFont="1" applyFill="1" applyBorder="1" applyAlignment="1">
      <alignment horizontal="center"/>
    </xf>
    <xf numFmtId="2" fontId="4" fillId="0" borderId="40" xfId="0" applyNumberFormat="1" applyFont="1" applyFill="1" applyBorder="1" applyAlignment="1">
      <alignment horizontal="center"/>
    </xf>
    <xf numFmtId="0" fontId="12" fillId="0" borderId="38" xfId="0" applyFont="1" applyFill="1" applyBorder="1" applyAlignment="1">
      <alignment horizontal="center" vertical="center"/>
    </xf>
    <xf numFmtId="2" fontId="4" fillId="0" borderId="17" xfId="0" applyNumberFormat="1" applyFont="1" applyFill="1" applyBorder="1" applyAlignment="1">
      <alignment horizontal="center"/>
    </xf>
    <xf numFmtId="2" fontId="10" fillId="0" borderId="63" xfId="0" applyNumberFormat="1" applyFont="1" applyFill="1" applyBorder="1" applyAlignment="1">
      <alignment horizontal="center"/>
    </xf>
    <xf numFmtId="2" fontId="10" fillId="0" borderId="47" xfId="0" applyNumberFormat="1" applyFont="1" applyFill="1" applyBorder="1" applyAlignment="1">
      <alignment horizontal="center"/>
    </xf>
    <xf numFmtId="2" fontId="10" fillId="0" borderId="18" xfId="0" applyNumberFormat="1" applyFont="1" applyFill="1" applyBorder="1" applyAlignment="1">
      <alignment horizontal="center"/>
    </xf>
    <xf numFmtId="2" fontId="10" fillId="9" borderId="0" xfId="0" applyNumberFormat="1" applyFont="1" applyFill="1" applyBorder="1" applyAlignment="1">
      <alignment horizontal="center"/>
    </xf>
    <xf numFmtId="2" fontId="10" fillId="9" borderId="47" xfId="0" applyNumberFormat="1" applyFont="1" applyFill="1" applyBorder="1" applyAlignment="1">
      <alignment horizontal="center"/>
    </xf>
    <xf numFmtId="2" fontId="10" fillId="0" borderId="26" xfId="0" applyNumberFormat="1" applyFont="1" applyFill="1" applyBorder="1" applyAlignment="1">
      <alignment horizontal="center"/>
    </xf>
    <xf numFmtId="2" fontId="10" fillId="0" borderId="40" xfId="0" applyNumberFormat="1" applyFont="1" applyFill="1" applyBorder="1" applyAlignment="1">
      <alignment horizontal="center"/>
    </xf>
    <xf numFmtId="1" fontId="4" fillId="0" borderId="41" xfId="0" applyNumberFormat="1" applyFont="1" applyBorder="1" applyAlignment="1">
      <alignment horizontal="center"/>
    </xf>
    <xf numFmtId="0" fontId="30" fillId="9" borderId="41" xfId="0" applyFont="1" applyFill="1" applyBorder="1" applyAlignment="1">
      <alignment horizontal="center"/>
    </xf>
    <xf numFmtId="0" fontId="30" fillId="0" borderId="45" xfId="0" applyFont="1" applyFill="1" applyBorder="1" applyAlignment="1">
      <alignment horizontal="center"/>
    </xf>
    <xf numFmtId="0" fontId="30" fillId="0" borderId="41" xfId="0" applyFont="1" applyFill="1" applyBorder="1" applyAlignment="1">
      <alignment horizontal="center"/>
    </xf>
    <xf numFmtId="0" fontId="30" fillId="0" borderId="15" xfId="0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4" fillId="9" borderId="1" xfId="0" applyNumberFormat="1" applyFont="1" applyFill="1" applyBorder="1" applyAlignment="1">
      <alignment horizontal="center"/>
    </xf>
    <xf numFmtId="2" fontId="4" fillId="3" borderId="50" xfId="0" applyNumberFormat="1" applyFont="1" applyFill="1" applyBorder="1" applyAlignment="1">
      <alignment horizontal="center"/>
    </xf>
    <xf numFmtId="2" fontId="4" fillId="3" borderId="46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2" fontId="4" fillId="9" borderId="46" xfId="0" applyNumberFormat="1" applyFont="1" applyFill="1" applyBorder="1" applyAlignment="1">
      <alignment horizontal="center"/>
    </xf>
    <xf numFmtId="2" fontId="4" fillId="2" borderId="46" xfId="0" applyNumberFormat="1" applyFont="1" applyFill="1" applyBorder="1" applyAlignment="1">
      <alignment horizontal="center"/>
    </xf>
    <xf numFmtId="2" fontId="4" fillId="9" borderId="4" xfId="0" applyNumberFormat="1" applyFont="1" applyFill="1" applyBorder="1" applyAlignment="1">
      <alignment horizontal="center"/>
    </xf>
    <xf numFmtId="2" fontId="4" fillId="0" borderId="46" xfId="0" applyNumberFormat="1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9" borderId="2" xfId="0" applyNumberFormat="1" applyFont="1" applyFill="1" applyBorder="1" applyAlignment="1">
      <alignment horizontal="center"/>
    </xf>
    <xf numFmtId="2" fontId="4" fillId="0" borderId="51" xfId="1" applyNumberFormat="1" applyFont="1" applyFill="1" applyBorder="1" applyAlignment="1">
      <alignment horizontal="center"/>
    </xf>
    <xf numFmtId="2" fontId="4" fillId="0" borderId="62" xfId="1" applyNumberFormat="1" applyFont="1" applyFill="1" applyBorder="1" applyAlignment="1">
      <alignment horizontal="center"/>
    </xf>
    <xf numFmtId="2" fontId="4" fillId="0" borderId="62" xfId="0" applyNumberFormat="1" applyFont="1" applyBorder="1" applyAlignment="1">
      <alignment horizontal="center"/>
    </xf>
    <xf numFmtId="2" fontId="4" fillId="0" borderId="47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165" fontId="4" fillId="0" borderId="50" xfId="0" applyNumberFormat="1" applyFont="1" applyFill="1" applyBorder="1" applyAlignment="1">
      <alignment horizontal="center"/>
    </xf>
    <xf numFmtId="165" fontId="4" fillId="0" borderId="46" xfId="0" applyNumberFormat="1" applyFont="1" applyFill="1" applyBorder="1" applyAlignment="1">
      <alignment horizontal="center"/>
    </xf>
    <xf numFmtId="165" fontId="4" fillId="9" borderId="46" xfId="0" applyNumberFormat="1" applyFont="1" applyFill="1" applyBorder="1" applyAlignment="1">
      <alignment horizontal="center"/>
    </xf>
    <xf numFmtId="9" fontId="12" fillId="5" borderId="4" xfId="1" applyFont="1" applyFill="1" applyBorder="1" applyAlignment="1">
      <alignment horizontal="center" vertical="center"/>
    </xf>
    <xf numFmtId="9" fontId="10" fillId="5" borderId="14" xfId="1" applyFont="1" applyFill="1" applyBorder="1" applyAlignment="1">
      <alignment horizontal="center" vertical="center"/>
    </xf>
    <xf numFmtId="169" fontId="4" fillId="0" borderId="30" xfId="0" applyNumberFormat="1" applyFont="1" applyBorder="1" applyAlignment="1">
      <alignment horizontal="center"/>
    </xf>
    <xf numFmtId="169" fontId="4" fillId="0" borderId="12" xfId="0" applyNumberFormat="1" applyFont="1" applyBorder="1" applyAlignment="1">
      <alignment horizontal="center"/>
    </xf>
    <xf numFmtId="169" fontId="4" fillId="0" borderId="27" xfId="0" applyNumberFormat="1" applyFont="1" applyBorder="1" applyAlignment="1">
      <alignment horizontal="center"/>
    </xf>
    <xf numFmtId="169" fontId="4" fillId="9" borderId="12" xfId="0" applyNumberFormat="1" applyFont="1" applyFill="1" applyBorder="1" applyAlignment="1">
      <alignment horizontal="center"/>
    </xf>
    <xf numFmtId="169" fontId="4" fillId="9" borderId="27" xfId="0" applyNumberFormat="1" applyFont="1" applyFill="1" applyBorder="1" applyAlignment="1">
      <alignment horizontal="center"/>
    </xf>
    <xf numFmtId="169" fontId="4" fillId="0" borderId="12" xfId="0" applyNumberFormat="1" applyFont="1" applyFill="1" applyBorder="1" applyAlignment="1">
      <alignment horizontal="center"/>
    </xf>
    <xf numFmtId="169" fontId="4" fillId="0" borderId="27" xfId="0" applyNumberFormat="1" applyFont="1" applyFill="1" applyBorder="1" applyAlignment="1">
      <alignment horizontal="center"/>
    </xf>
    <xf numFmtId="169" fontId="4" fillId="0" borderId="13" xfId="0" applyNumberFormat="1" applyFont="1" applyBorder="1" applyAlignment="1">
      <alignment horizontal="center"/>
    </xf>
    <xf numFmtId="169" fontId="4" fillId="0" borderId="55" xfId="0" applyNumberFormat="1" applyFont="1" applyBorder="1" applyAlignment="1">
      <alignment horizontal="center"/>
    </xf>
    <xf numFmtId="169" fontId="4" fillId="0" borderId="16" xfId="0" applyNumberFormat="1" applyFont="1" applyBorder="1" applyAlignment="1">
      <alignment horizontal="center"/>
    </xf>
    <xf numFmtId="169" fontId="4" fillId="9" borderId="16" xfId="0" applyNumberFormat="1" applyFont="1" applyFill="1" applyBorder="1" applyAlignment="1">
      <alignment horizontal="center"/>
    </xf>
    <xf numFmtId="169" fontId="4" fillId="0" borderId="16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/>
    <xf numFmtId="165" fontId="0" fillId="0" borderId="0" xfId="0" applyNumberForma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8" fillId="12" borderId="0" xfId="0" applyFont="1" applyFill="1" applyBorder="1" applyAlignment="1">
      <alignment horizontal="center"/>
    </xf>
    <xf numFmtId="0" fontId="10" fillId="5" borderId="0" xfId="0" applyFont="1" applyFill="1" applyBorder="1"/>
    <xf numFmtId="2" fontId="0" fillId="0" borderId="0" xfId="1" applyNumberFormat="1" applyFont="1" applyFill="1" applyBorder="1" applyAlignment="1">
      <alignment horizontal="center"/>
    </xf>
    <xf numFmtId="2" fontId="0" fillId="0" borderId="0" xfId="0" applyNumberFormat="1" applyFill="1" applyBorder="1" applyAlignment="1"/>
    <xf numFmtId="0" fontId="26" fillId="0" borderId="0" xfId="0" applyFont="1" applyFill="1" applyBorder="1" applyAlignment="1">
      <alignment horizontal="center"/>
    </xf>
    <xf numFmtId="2" fontId="0" fillId="0" borderId="0" xfId="0" applyNumberFormat="1" applyFill="1" applyBorder="1"/>
    <xf numFmtId="2" fontId="17" fillId="0" borderId="0" xfId="0" applyNumberFormat="1" applyFont="1" applyFill="1" applyBorder="1" applyAlignment="1">
      <alignment horizontal="center"/>
    </xf>
    <xf numFmtId="2" fontId="45" fillId="0" borderId="0" xfId="0" applyNumberFormat="1" applyFont="1" applyFill="1" applyBorder="1" applyAlignment="1"/>
    <xf numFmtId="2" fontId="26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10" fillId="0" borderId="0" xfId="0" applyFont="1" applyFill="1" applyBorder="1" applyAlignment="1"/>
    <xf numFmtId="0" fontId="10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9" fontId="4" fillId="0" borderId="0" xfId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168" fontId="1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3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shrinkToFit="1"/>
    </xf>
    <xf numFmtId="165" fontId="0" fillId="0" borderId="0" xfId="0" applyNumberFormat="1" applyFill="1" applyBorder="1"/>
    <xf numFmtId="0" fontId="10" fillId="5" borderId="29" xfId="0" applyFont="1" applyFill="1" applyBorder="1" applyAlignment="1"/>
    <xf numFmtId="0" fontId="0" fillId="12" borderId="18" xfId="0" applyFill="1" applyBorder="1" applyAlignment="1">
      <alignment horizontal="center"/>
    </xf>
    <xf numFmtId="0" fontId="10" fillId="5" borderId="25" xfId="0" applyFont="1" applyFill="1" applyBorder="1" applyAlignment="1">
      <alignment horizontal="center"/>
    </xf>
    <xf numFmtId="0" fontId="4" fillId="0" borderId="22" xfId="0" applyFont="1" applyBorder="1"/>
    <xf numFmtId="0" fontId="4" fillId="5" borderId="23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9" fontId="4" fillId="0" borderId="0" xfId="1" applyFont="1" applyFill="1" applyBorder="1" applyAlignment="1"/>
    <xf numFmtId="164" fontId="10" fillId="0" borderId="0" xfId="0" applyNumberFormat="1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5" fontId="56" fillId="9" borderId="0" xfId="0" applyNumberFormat="1" applyFont="1" applyFill="1" applyBorder="1" applyAlignment="1">
      <alignment horizontal="center"/>
    </xf>
    <xf numFmtId="0" fontId="21" fillId="0" borderId="38" xfId="0" applyFon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5" xfId="0" applyFont="1" applyBorder="1"/>
    <xf numFmtId="0" fontId="4" fillId="0" borderId="33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4" fillId="9" borderId="35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9" borderId="44" xfId="0" applyFont="1" applyFill="1" applyBorder="1" applyAlignment="1">
      <alignment horizontal="center"/>
    </xf>
    <xf numFmtId="0" fontId="4" fillId="3" borderId="14" xfId="0" applyNumberFormat="1" applyFont="1" applyFill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9" fontId="4" fillId="5" borderId="15" xfId="1" applyFont="1" applyFill="1" applyBorder="1" applyAlignment="1">
      <alignment horizontal="center" vertical="center"/>
    </xf>
    <xf numFmtId="0" fontId="58" fillId="0" borderId="0" xfId="0" applyFont="1"/>
    <xf numFmtId="0" fontId="58" fillId="0" borderId="0" xfId="0" applyFont="1" applyFill="1" applyAlignment="1">
      <alignment horizontal="center"/>
    </xf>
    <xf numFmtId="164" fontId="0" fillId="0" borderId="32" xfId="0" applyNumberFormat="1" applyBorder="1" applyAlignment="1">
      <alignment horizontal="center"/>
    </xf>
    <xf numFmtId="164" fontId="0" fillId="0" borderId="32" xfId="0" applyNumberFormat="1" applyFill="1" applyBorder="1" applyAlignment="1">
      <alignment horizontal="center"/>
    </xf>
    <xf numFmtId="164" fontId="0" fillId="9" borderId="32" xfId="0" applyNumberFormat="1" applyFill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5" fontId="0" fillId="13" borderId="7" xfId="0" applyNumberFormat="1" applyFill="1" applyBorder="1" applyAlignment="1">
      <alignment horizontal="center"/>
    </xf>
    <xf numFmtId="165" fontId="0" fillId="13" borderId="6" xfId="0" applyNumberFormat="1" applyFill="1" applyBorder="1" applyAlignment="1">
      <alignment horizontal="center"/>
    </xf>
    <xf numFmtId="165" fontId="0" fillId="13" borderId="41" xfId="0" applyNumberFormat="1" applyFill="1" applyBorder="1" applyAlignment="1">
      <alignment horizontal="center"/>
    </xf>
    <xf numFmtId="0" fontId="0" fillId="13" borderId="0" xfId="0" applyFill="1" applyAlignment="1">
      <alignment horizontal="center"/>
    </xf>
    <xf numFmtId="165" fontId="0" fillId="13" borderId="0" xfId="0" applyNumberFormat="1" applyFill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0" fillId="9" borderId="49" xfId="0" applyFill="1" applyBorder="1" applyAlignment="1">
      <alignment horizontal="center"/>
    </xf>
    <xf numFmtId="165" fontId="0" fillId="9" borderId="19" xfId="0" applyNumberFormat="1" applyFill="1" applyBorder="1" applyAlignment="1">
      <alignment horizontal="center"/>
    </xf>
    <xf numFmtId="165" fontId="0" fillId="9" borderId="20" xfId="0" applyNumberFormat="1" applyFill="1" applyBorder="1" applyAlignment="1">
      <alignment horizontal="center"/>
    </xf>
    <xf numFmtId="165" fontId="0" fillId="9" borderId="29" xfId="0" applyNumberFormat="1" applyFill="1" applyBorder="1" applyAlignment="1">
      <alignment horizontal="center"/>
    </xf>
    <xf numFmtId="165" fontId="0" fillId="0" borderId="32" xfId="0" applyNumberFormat="1" applyBorder="1" applyAlignment="1">
      <alignment horizontal="center" vertical="center"/>
    </xf>
    <xf numFmtId="165" fontId="0" fillId="0" borderId="38" xfId="0" applyNumberFormat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165" fontId="0" fillId="0" borderId="28" xfId="0" applyNumberFormat="1" applyFill="1" applyBorder="1" applyAlignment="1">
      <alignment horizontal="center"/>
    </xf>
    <xf numFmtId="165" fontId="0" fillId="0" borderId="40" xfId="0" applyNumberFormat="1" applyFill="1" applyBorder="1" applyAlignment="1">
      <alignment horizontal="center"/>
    </xf>
    <xf numFmtId="164" fontId="0" fillId="13" borderId="32" xfId="0" applyNumberFormat="1" applyFill="1" applyBorder="1" applyAlignment="1">
      <alignment horizontal="center"/>
    </xf>
    <xf numFmtId="164" fontId="0" fillId="14" borderId="32" xfId="0" applyNumberFormat="1" applyFill="1" applyBorder="1" applyAlignment="1">
      <alignment horizontal="center"/>
    </xf>
    <xf numFmtId="165" fontId="0" fillId="14" borderId="7" xfId="0" applyNumberFormat="1" applyFill="1" applyBorder="1" applyAlignment="1">
      <alignment horizontal="center"/>
    </xf>
    <xf numFmtId="165" fontId="0" fillId="14" borderId="6" xfId="0" applyNumberFormat="1" applyFill="1" applyBorder="1" applyAlignment="1">
      <alignment horizontal="center"/>
    </xf>
    <xf numFmtId="165" fontId="0" fillId="14" borderId="41" xfId="0" applyNumberFormat="1" applyFill="1" applyBorder="1" applyAlignment="1">
      <alignment horizontal="center"/>
    </xf>
    <xf numFmtId="0" fontId="0" fillId="14" borderId="0" xfId="0" applyFill="1" applyAlignment="1">
      <alignment horizontal="center"/>
    </xf>
    <xf numFmtId="165" fontId="0" fillId="14" borderId="0" xfId="0" applyNumberFormat="1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8" borderId="41" xfId="0" applyFill="1" applyBorder="1"/>
    <xf numFmtId="0" fontId="0" fillId="8" borderId="0" xfId="0" applyFill="1" applyBorder="1"/>
    <xf numFmtId="0" fontId="0" fillId="8" borderId="15" xfId="0" applyFill="1" applyBorder="1"/>
    <xf numFmtId="0" fontId="1" fillId="8" borderId="47" xfId="0" applyFont="1" applyFill="1" applyBorder="1" applyAlignment="1">
      <alignment horizontal="right"/>
    </xf>
    <xf numFmtId="0" fontId="0" fillId="8" borderId="56" xfId="0" applyFill="1" applyBorder="1" applyAlignment="1">
      <alignment horizontal="left"/>
    </xf>
    <xf numFmtId="0" fontId="1" fillId="8" borderId="40" xfId="0" applyFont="1" applyFill="1" applyBorder="1" applyAlignment="1">
      <alignment horizontal="right"/>
    </xf>
    <xf numFmtId="0" fontId="0" fillId="8" borderId="15" xfId="0" applyFill="1" applyBorder="1" applyAlignment="1">
      <alignment horizontal="left"/>
    </xf>
    <xf numFmtId="0" fontId="0" fillId="0" borderId="0" xfId="0" applyAlignment="1"/>
    <xf numFmtId="0" fontId="0" fillId="0" borderId="4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5" xfId="0" applyBorder="1" applyAlignment="1">
      <alignment horizontal="center"/>
    </xf>
    <xf numFmtId="171" fontId="0" fillId="0" borderId="0" xfId="0" applyNumberFormat="1"/>
    <xf numFmtId="14" fontId="0" fillId="0" borderId="32" xfId="0" applyNumberFormat="1" applyBorder="1"/>
    <xf numFmtId="171" fontId="0" fillId="0" borderId="2" xfId="0" applyNumberFormat="1" applyBorder="1" applyAlignment="1">
      <alignment horizontal="center"/>
    </xf>
    <xf numFmtId="14" fontId="0" fillId="0" borderId="0" xfId="0" applyNumberFormat="1" applyBorder="1"/>
    <xf numFmtId="0" fontId="0" fillId="0" borderId="41" xfId="0" applyBorder="1"/>
    <xf numFmtId="0" fontId="0" fillId="0" borderId="0" xfId="0" applyNumberFormat="1"/>
    <xf numFmtId="14" fontId="0" fillId="0" borderId="32" xfId="0" applyNumberFormat="1" applyBorder="1" applyAlignment="1">
      <alignment horizontal="center"/>
    </xf>
    <xf numFmtId="171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1" xfId="0" applyNumberFormat="1" applyBorder="1" applyAlignment="1">
      <alignment horizontal="center"/>
    </xf>
    <xf numFmtId="14" fontId="0" fillId="4" borderId="32" xfId="0" applyNumberFormat="1" applyFill="1" applyBorder="1" applyAlignment="1">
      <alignment horizontal="center"/>
    </xf>
    <xf numFmtId="14" fontId="0" fillId="4" borderId="32" xfId="0" applyNumberFormat="1" applyFill="1" applyBorder="1"/>
    <xf numFmtId="0" fontId="0" fillId="0" borderId="4" xfId="0" applyNumberFormat="1" applyBorder="1" applyAlignment="1">
      <alignment horizontal="center"/>
    </xf>
    <xf numFmtId="14" fontId="0" fillId="0" borderId="38" xfId="0" applyNumberFormat="1" applyBorder="1" applyAlignment="1">
      <alignment horizontal="center"/>
    </xf>
    <xf numFmtId="171" fontId="0" fillId="0" borderId="14" xfId="0" applyNumberFormat="1" applyBorder="1" applyAlignment="1">
      <alignment horizontal="center"/>
    </xf>
    <xf numFmtId="0" fontId="0" fillId="0" borderId="40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38" xfId="0" applyNumberFormat="1" applyBorder="1"/>
    <xf numFmtId="1" fontId="0" fillId="0" borderId="40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0" xfId="0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41" xfId="0" applyNumberFormat="1" applyFont="1" applyBorder="1" applyAlignment="1">
      <alignment horizontal="center"/>
    </xf>
    <xf numFmtId="1" fontId="10" fillId="0" borderId="41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1" fontId="10" fillId="0" borderId="0" xfId="0" applyNumberFormat="1" applyFont="1" applyBorder="1" applyAlignment="1">
      <alignment horizontal="center" vertical="center"/>
    </xf>
    <xf numFmtId="1" fontId="10" fillId="0" borderId="32" xfId="0" applyNumberFormat="1" applyFont="1" applyFill="1" applyBorder="1" applyAlignment="1">
      <alignment horizontal="center"/>
    </xf>
    <xf numFmtId="1" fontId="10" fillId="0" borderId="32" xfId="0" applyNumberFormat="1" applyFont="1" applyBorder="1" applyAlignment="1">
      <alignment horizontal="center" vertical="center"/>
    </xf>
    <xf numFmtId="1" fontId="10" fillId="0" borderId="41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1" fontId="10" fillId="0" borderId="40" xfId="0" applyNumberFormat="1" applyFont="1" applyBorder="1" applyAlignment="1">
      <alignment horizontal="center"/>
    </xf>
    <xf numFmtId="1" fontId="10" fillId="0" borderId="15" xfId="0" applyNumberFormat="1" applyFont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1" fontId="4" fillId="0" borderId="7" xfId="0" applyNumberFormat="1" applyFont="1" applyFill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 vertical="center"/>
    </xf>
    <xf numFmtId="0" fontId="0" fillId="0" borderId="7" xfId="0" applyBorder="1"/>
    <xf numFmtId="1" fontId="10" fillId="0" borderId="17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1" xfId="0" applyBorder="1" applyAlignment="1">
      <alignment horizontal="center"/>
    </xf>
    <xf numFmtId="1" fontId="0" fillId="0" borderId="0" xfId="0" applyNumberFormat="1"/>
    <xf numFmtId="1" fontId="4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/>
    </xf>
    <xf numFmtId="1" fontId="10" fillId="0" borderId="12" xfId="0" applyNumberFormat="1" applyFont="1" applyFill="1" applyBorder="1" applyAlignment="1">
      <alignment horizontal="center"/>
    </xf>
    <xf numFmtId="1" fontId="10" fillId="0" borderId="16" xfId="0" applyNumberFormat="1" applyFont="1" applyBorder="1" applyAlignment="1">
      <alignment horizontal="center" vertical="center"/>
    </xf>
    <xf numFmtId="1" fontId="10" fillId="0" borderId="16" xfId="0" applyNumberFormat="1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1" fontId="10" fillId="0" borderId="27" xfId="0" applyNumberFormat="1" applyFont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/>
    </xf>
    <xf numFmtId="1" fontId="10" fillId="0" borderId="4" xfId="0" applyNumberFormat="1" applyFont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" fontId="10" fillId="0" borderId="14" xfId="0" applyNumberFormat="1" applyFont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Alignment="1">
      <alignment horizontal="center"/>
    </xf>
    <xf numFmtId="0" fontId="56" fillId="0" borderId="0" xfId="0" applyFont="1" applyBorder="1" applyAlignment="1">
      <alignment horizontal="center"/>
    </xf>
    <xf numFmtId="2" fontId="4" fillId="0" borderId="41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165" fontId="0" fillId="0" borderId="0" xfId="0" applyNumberForma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7" borderId="0" xfId="0" applyNumberFormat="1" applyFill="1" applyBorder="1" applyAlignment="1">
      <alignment horizontal="center"/>
    </xf>
    <xf numFmtId="0" fontId="21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1" fillId="0" borderId="0" xfId="0" applyFont="1" applyBorder="1" applyAlignment="1">
      <alignment horizontal="center"/>
    </xf>
    <xf numFmtId="0" fontId="9" fillId="7" borderId="21" xfId="0" applyFont="1" applyFill="1" applyBorder="1" applyAlignment="1">
      <alignment horizontal="center"/>
    </xf>
    <xf numFmtId="0" fontId="9" fillId="7" borderId="38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164" fontId="0" fillId="7" borderId="16" xfId="0" applyNumberFormat="1" applyFill="1" applyBorder="1" applyAlignment="1">
      <alignment horizontal="center"/>
    </xf>
    <xf numFmtId="164" fontId="0" fillId="7" borderId="65" xfId="0" applyNumberFormat="1" applyFill="1" applyBorder="1" applyAlignment="1">
      <alignment horizontal="center"/>
    </xf>
    <xf numFmtId="164" fontId="0" fillId="7" borderId="66" xfId="0" applyNumberFormat="1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1" fontId="0" fillId="0" borderId="15" xfId="0" applyNumberForma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29" xfId="0" applyBorder="1"/>
    <xf numFmtId="0" fontId="21" fillId="0" borderId="0" xfId="0" applyFont="1" applyFill="1" applyBorder="1" applyAlignment="1">
      <alignment horizontal="right"/>
    </xf>
    <xf numFmtId="11" fontId="1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165" fontId="10" fillId="0" borderId="0" xfId="0" applyNumberFormat="1" applyFont="1" applyFill="1" applyBorder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22" fillId="15" borderId="0" xfId="0" applyFont="1" applyFill="1" applyBorder="1" applyAlignment="1">
      <alignment horizontal="right" vertical="center"/>
    </xf>
    <xf numFmtId="11" fontId="10" fillId="15" borderId="0" xfId="0" applyNumberFormat="1" applyFont="1" applyFill="1" applyBorder="1" applyAlignment="1">
      <alignment horizontal="right" vertical="center"/>
    </xf>
    <xf numFmtId="0" fontId="10" fillId="15" borderId="0" xfId="0" applyFont="1" applyFill="1" applyBorder="1" applyAlignment="1">
      <alignment horizontal="left" vertical="center"/>
    </xf>
    <xf numFmtId="11" fontId="10" fillId="15" borderId="0" xfId="0" applyNumberFormat="1" applyFont="1" applyFill="1" applyBorder="1" applyAlignment="1">
      <alignment horizontal="left" vertical="center"/>
    </xf>
    <xf numFmtId="0" fontId="10" fillId="15" borderId="4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horizontal="right"/>
    </xf>
    <xf numFmtId="0" fontId="1" fillId="0" borderId="32" xfId="0" applyFont="1" applyBorder="1" applyAlignment="1">
      <alignment horizontal="right" vertical="center"/>
    </xf>
    <xf numFmtId="172" fontId="10" fillId="15" borderId="0" xfId="0" applyNumberFormat="1" applyFont="1" applyFill="1" applyBorder="1" applyAlignment="1">
      <alignment horizontal="left" vertical="center"/>
    </xf>
    <xf numFmtId="0" fontId="21" fillId="15" borderId="0" xfId="0" applyFont="1" applyFill="1" applyBorder="1" applyAlignment="1">
      <alignment horizontal="left" vertical="center"/>
    </xf>
    <xf numFmtId="11" fontId="0" fillId="15" borderId="0" xfId="0" applyNumberFormat="1" applyFill="1" applyBorder="1" applyAlignment="1">
      <alignment vertical="center"/>
    </xf>
    <xf numFmtId="0" fontId="1" fillId="15" borderId="41" xfId="0" applyFont="1" applyFill="1" applyBorder="1" applyAlignment="1">
      <alignment vertical="center"/>
    </xf>
    <xf numFmtId="0" fontId="23" fillId="0" borderId="52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11" fontId="0" fillId="0" borderId="2" xfId="0" applyNumberFormat="1" applyBorder="1" applyAlignment="1">
      <alignment horizontal="center"/>
    </xf>
    <xf numFmtId="11" fontId="0" fillId="0" borderId="0" xfId="0" applyNumberFormat="1" applyBorder="1" applyAlignment="1">
      <alignment horizontal="center"/>
    </xf>
    <xf numFmtId="0" fontId="1" fillId="0" borderId="0" xfId="0" applyFont="1" applyFill="1" applyAlignment="1">
      <alignment horizontal="center"/>
    </xf>
    <xf numFmtId="11" fontId="0" fillId="0" borderId="4" xfId="0" applyNumberForma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11" fontId="0" fillId="0" borderId="14" xfId="0" applyNumberFormat="1" applyBorder="1" applyAlignment="1">
      <alignment horizontal="center"/>
    </xf>
    <xf numFmtId="11" fontId="0" fillId="0" borderId="40" xfId="0" applyNumberFormat="1" applyBorder="1" applyAlignment="1">
      <alignment horizontal="center"/>
    </xf>
    <xf numFmtId="0" fontId="0" fillId="5" borderId="10" xfId="0" applyFill="1" applyBorder="1"/>
    <xf numFmtId="0" fontId="21" fillId="0" borderId="51" xfId="0" applyFont="1" applyBorder="1" applyAlignment="1">
      <alignment horizontal="center"/>
    </xf>
    <xf numFmtId="0" fontId="21" fillId="0" borderId="48" xfId="0" applyFont="1" applyBorder="1" applyAlignment="1">
      <alignment horizontal="center"/>
    </xf>
    <xf numFmtId="0" fontId="0" fillId="5" borderId="13" xfId="0" applyFill="1" applyBorder="1"/>
    <xf numFmtId="0" fontId="0" fillId="0" borderId="0" xfId="0" applyBorder="1" applyAlignment="1">
      <alignment horizontal="center"/>
    </xf>
    <xf numFmtId="168" fontId="1" fillId="0" borderId="0" xfId="0" applyNumberFormat="1" applyFont="1" applyFill="1" applyBorder="1" applyAlignment="1">
      <alignment horizontal="right"/>
    </xf>
    <xf numFmtId="0" fontId="0" fillId="0" borderId="15" xfId="0" applyFill="1" applyBorder="1" applyAlignment="1">
      <alignment horizontal="center"/>
    </xf>
    <xf numFmtId="2" fontId="0" fillId="0" borderId="41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165" fontId="0" fillId="0" borderId="19" xfId="0" applyNumberFormat="1" applyFill="1" applyBorder="1" applyAlignment="1">
      <alignment horizontal="center"/>
    </xf>
    <xf numFmtId="0" fontId="1" fillId="8" borderId="0" xfId="0" applyFont="1" applyFill="1" applyBorder="1" applyAlignment="1">
      <alignment horizontal="right" vertical="top"/>
    </xf>
    <xf numFmtId="0" fontId="0" fillId="8" borderId="0" xfId="0" applyFill="1" applyBorder="1" applyAlignment="1">
      <alignment horizontal="left"/>
    </xf>
    <xf numFmtId="0" fontId="0" fillId="8" borderId="40" xfId="0" applyFill="1" applyBorder="1" applyAlignment="1">
      <alignment horizontal="left"/>
    </xf>
    <xf numFmtId="165" fontId="0" fillId="0" borderId="0" xfId="0" applyNumberFormat="1" applyBorder="1" applyAlignment="1">
      <alignment horizontal="center" vertical="center"/>
    </xf>
    <xf numFmtId="0" fontId="1" fillId="0" borderId="41" xfId="0" applyFont="1" applyFill="1" applyBorder="1"/>
    <xf numFmtId="0" fontId="21" fillId="0" borderId="34" xfId="0" applyFont="1" applyFill="1" applyBorder="1" applyAlignment="1">
      <alignment horizontal="center"/>
    </xf>
    <xf numFmtId="0" fontId="21" fillId="0" borderId="18" xfId="0" applyFont="1" applyFill="1" applyBorder="1" applyAlignment="1">
      <alignment horizontal="center"/>
    </xf>
    <xf numFmtId="0" fontId="0" fillId="0" borderId="45" xfId="0" applyBorder="1"/>
    <xf numFmtId="0" fontId="1" fillId="0" borderId="15" xfId="0" applyFont="1" applyFill="1" applyBorder="1"/>
    <xf numFmtId="165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9" borderId="28" xfId="0" applyNumberForma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5" borderId="0" xfId="0" applyFill="1" applyBorder="1" applyAlignment="1">
      <alignment horizontal="right"/>
    </xf>
    <xf numFmtId="0" fontId="21" fillId="5" borderId="40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3" fillId="5" borderId="38" xfId="0" applyFont="1" applyFill="1" applyBorder="1" applyAlignment="1">
      <alignment horizontal="center" vertical="center"/>
    </xf>
    <xf numFmtId="0" fontId="0" fillId="0" borderId="15" xfId="0" applyBorder="1" applyAlignment="1">
      <alignment horizontal="left"/>
    </xf>
    <xf numFmtId="0" fontId="0" fillId="0" borderId="40" xfId="0" applyBorder="1" applyAlignment="1">
      <alignment horizontal="left"/>
    </xf>
    <xf numFmtId="0" fontId="21" fillId="15" borderId="40" xfId="0" applyFont="1" applyFill="1" applyBorder="1" applyAlignment="1">
      <alignment horizontal="left" vertical="center"/>
    </xf>
    <xf numFmtId="0" fontId="21" fillId="15" borderId="40" xfId="0" applyFont="1" applyFill="1" applyBorder="1" applyAlignment="1">
      <alignment horizontal="right" vertical="center"/>
    </xf>
    <xf numFmtId="0" fontId="1" fillId="0" borderId="38" xfId="0" applyFont="1" applyFill="1" applyBorder="1" applyAlignment="1">
      <alignment horizontal="right" vertical="center"/>
    </xf>
    <xf numFmtId="0" fontId="0" fillId="15" borderId="0" xfId="0" applyFill="1" applyBorder="1" applyAlignment="1">
      <alignment horizontal="center"/>
    </xf>
    <xf numFmtId="0" fontId="49" fillId="5" borderId="41" xfId="0" applyFont="1" applyFill="1" applyBorder="1" applyAlignment="1"/>
    <xf numFmtId="0" fontId="65" fillId="5" borderId="0" xfId="0" applyFont="1" applyFill="1" applyBorder="1" applyAlignment="1"/>
    <xf numFmtId="0" fontId="21" fillId="0" borderId="0" xfId="0" applyFont="1" applyBorder="1" applyAlignment="1">
      <alignment horizontal="center" vertical="center"/>
    </xf>
    <xf numFmtId="11" fontId="0" fillId="0" borderId="15" xfId="0" applyNumberFormat="1" applyBorder="1" applyAlignment="1">
      <alignment horizontal="center"/>
    </xf>
    <xf numFmtId="11" fontId="0" fillId="0" borderId="41" xfId="0" applyNumberFormat="1" applyBorder="1" applyAlignment="1">
      <alignment horizontal="center"/>
    </xf>
    <xf numFmtId="0" fontId="21" fillId="0" borderId="42" xfId="0" applyFont="1" applyBorder="1" applyAlignment="1">
      <alignment horizontal="center" vertical="center"/>
    </xf>
    <xf numFmtId="0" fontId="1" fillId="15" borderId="15" xfId="0" applyFont="1" applyFill="1" applyBorder="1" applyAlignment="1">
      <alignment vertical="center"/>
    </xf>
    <xf numFmtId="11" fontId="0" fillId="15" borderId="40" xfId="0" applyNumberFormat="1" applyFill="1" applyBorder="1" applyAlignment="1">
      <alignment vertical="center"/>
    </xf>
    <xf numFmtId="172" fontId="10" fillId="15" borderId="40" xfId="0" applyNumberFormat="1" applyFont="1" applyFill="1" applyBorder="1" applyAlignment="1">
      <alignment horizontal="left" vertical="center"/>
    </xf>
    <xf numFmtId="0" fontId="22" fillId="15" borderId="40" xfId="0" applyFont="1" applyFill="1" applyBorder="1" applyAlignment="1">
      <alignment horizontal="right" vertical="center"/>
    </xf>
    <xf numFmtId="11" fontId="10" fillId="15" borderId="40" xfId="0" applyNumberFormat="1" applyFont="1" applyFill="1" applyBorder="1" applyAlignment="1">
      <alignment horizontal="right" vertical="center"/>
    </xf>
    <xf numFmtId="0" fontId="0" fillId="15" borderId="40" xfId="0" applyFill="1" applyBorder="1" applyAlignment="1">
      <alignment horizontal="center"/>
    </xf>
    <xf numFmtId="0" fontId="1" fillId="0" borderId="38" xfId="0" applyFont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9" borderId="5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0" fillId="0" borderId="0" xfId="0" applyAlignment="1"/>
    <xf numFmtId="0" fontId="0" fillId="0" borderId="28" xfId="0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Alignment="1">
      <alignment horizontal="right"/>
    </xf>
    <xf numFmtId="164" fontId="1" fillId="0" borderId="16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37" xfId="1" applyNumberFormat="1" applyFont="1" applyBorder="1" applyAlignment="1">
      <alignment horizontal="center"/>
    </xf>
    <xf numFmtId="0" fontId="0" fillId="3" borderId="41" xfId="0" applyFill="1" applyBorder="1" applyAlignment="1">
      <alignment horizontal="center"/>
    </xf>
    <xf numFmtId="164" fontId="1" fillId="3" borderId="16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7" fontId="0" fillId="9" borderId="16" xfId="0" applyNumberFormat="1" applyFill="1" applyBorder="1" applyAlignment="1">
      <alignment horizontal="center"/>
    </xf>
    <xf numFmtId="167" fontId="0" fillId="9" borderId="41" xfId="0" applyNumberFormat="1" applyFill="1" applyBorder="1" applyAlignment="1">
      <alignment horizontal="center"/>
    </xf>
    <xf numFmtId="0" fontId="0" fillId="9" borderId="0" xfId="0" applyFill="1"/>
    <xf numFmtId="164" fontId="1" fillId="3" borderId="37" xfId="1" applyNumberFormat="1" applyFont="1" applyFill="1" applyBorder="1" applyAlignment="1">
      <alignment horizontal="center"/>
    </xf>
    <xf numFmtId="164" fontId="1" fillId="16" borderId="37" xfId="1" applyNumberFormat="1" applyFont="1" applyFill="1" applyBorder="1" applyAlignment="1">
      <alignment horizontal="center"/>
    </xf>
    <xf numFmtId="167" fontId="0" fillId="16" borderId="16" xfId="0" applyNumberFormat="1" applyFill="1" applyBorder="1" applyAlignment="1">
      <alignment horizontal="center"/>
    </xf>
    <xf numFmtId="167" fontId="0" fillId="16" borderId="41" xfId="0" applyNumberFormat="1" applyFill="1" applyBorder="1" applyAlignment="1">
      <alignment horizontal="center"/>
    </xf>
    <xf numFmtId="0" fontId="0" fillId="16" borderId="0" xfId="0" applyFill="1" applyBorder="1"/>
    <xf numFmtId="164" fontId="1" fillId="0" borderId="37" xfId="1" applyNumberFormat="1" applyFont="1" applyFill="1" applyBorder="1" applyAlignment="1">
      <alignment horizontal="center"/>
    </xf>
    <xf numFmtId="164" fontId="1" fillId="0" borderId="41" xfId="1" applyNumberFormat="1" applyFont="1" applyBorder="1" applyAlignment="1">
      <alignment horizontal="center"/>
    </xf>
    <xf numFmtId="164" fontId="1" fillId="9" borderId="41" xfId="1" applyNumberFormat="1" applyFont="1" applyFill="1" applyBorder="1" applyAlignment="1">
      <alignment horizontal="center"/>
    </xf>
    <xf numFmtId="164" fontId="1" fillId="0" borderId="41" xfId="1" applyNumberFormat="1" applyFont="1" applyFill="1" applyBorder="1" applyAlignment="1">
      <alignment horizontal="center"/>
    </xf>
    <xf numFmtId="0" fontId="1" fillId="0" borderId="5" xfId="0" applyFont="1" applyBorder="1"/>
    <xf numFmtId="0" fontId="0" fillId="0" borderId="3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1" xfId="0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2" fontId="0" fillId="9" borderId="13" xfId="0" applyNumberFormat="1" applyFill="1" applyBorder="1" applyAlignment="1">
      <alignment horizontal="center"/>
    </xf>
    <xf numFmtId="2" fontId="0" fillId="9" borderId="15" xfId="0" applyNumberFormat="1" applyFill="1" applyBorder="1" applyAlignment="1">
      <alignment horizontal="center"/>
    </xf>
    <xf numFmtId="0" fontId="0" fillId="0" borderId="0" xfId="0" applyBorder="1" applyAlignment="1"/>
    <xf numFmtId="0" fontId="4" fillId="0" borderId="0" xfId="0" applyFont="1" applyFill="1" applyBorder="1" applyAlignment="1">
      <alignment horizontal="right"/>
    </xf>
    <xf numFmtId="0" fontId="4" fillId="5" borderId="19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2" borderId="37" xfId="0" applyFont="1" applyFill="1" applyBorder="1" applyAlignment="1">
      <alignment horizontal="center"/>
    </xf>
    <xf numFmtId="0" fontId="4" fillId="3" borderId="67" xfId="0" applyFont="1" applyFill="1" applyBorder="1" applyAlignment="1">
      <alignment horizontal="center"/>
    </xf>
    <xf numFmtId="0" fontId="4" fillId="0" borderId="67" xfId="0" applyFont="1" applyBorder="1"/>
    <xf numFmtId="0" fontId="4" fillId="9" borderId="37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2" fontId="39" fillId="0" borderId="7" xfId="0" quotePrefix="1" applyNumberFormat="1" applyFont="1" applyFill="1" applyBorder="1"/>
    <xf numFmtId="164" fontId="4" fillId="0" borderId="37" xfId="0" applyNumberFormat="1" applyFont="1" applyFill="1" applyBorder="1" applyAlignment="1">
      <alignment horizontal="center"/>
    </xf>
    <xf numFmtId="164" fontId="4" fillId="3" borderId="22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0" fillId="9" borderId="0" xfId="0" applyFill="1" applyBorder="1" applyAlignment="1"/>
    <xf numFmtId="0" fontId="0" fillId="0" borderId="41" xfId="0" applyBorder="1" applyAlignment="1">
      <alignment horizontal="center"/>
    </xf>
    <xf numFmtId="0" fontId="0" fillId="0" borderId="0" xfId="0" applyBorder="1" applyAlignment="1">
      <alignment horizontal="center"/>
    </xf>
    <xf numFmtId="164" fontId="8" fillId="9" borderId="37" xfId="1" applyNumberFormat="1" applyFont="1" applyFill="1" applyBorder="1" applyAlignment="1">
      <alignment horizontal="center"/>
    </xf>
    <xf numFmtId="9" fontId="0" fillId="16" borderId="0" xfId="1" applyFont="1" applyFill="1" applyBorder="1" applyAlignment="1"/>
    <xf numFmtId="164" fontId="8" fillId="16" borderId="37" xfId="1" applyNumberFormat="1" applyFont="1" applyFill="1" applyBorder="1" applyAlignment="1">
      <alignment horizontal="center"/>
    </xf>
    <xf numFmtId="0" fontId="0" fillId="16" borderId="0" xfId="0" applyFill="1"/>
    <xf numFmtId="0" fontId="0" fillId="9" borderId="0" xfId="0" applyFill="1" applyAlignment="1"/>
    <xf numFmtId="168" fontId="0" fillId="0" borderId="10" xfId="0" applyNumberFormat="1" applyBorder="1" applyAlignment="1">
      <alignment horizontal="center"/>
    </xf>
    <xf numFmtId="0" fontId="0" fillId="9" borderId="0" xfId="0" applyFill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39" xfId="1" applyNumberFormat="1" applyFont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164" fontId="1" fillId="0" borderId="15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1" fillId="0" borderId="49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/>
    </xf>
    <xf numFmtId="0" fontId="10" fillId="5" borderId="41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32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right"/>
    </xf>
    <xf numFmtId="0" fontId="0" fillId="0" borderId="40" xfId="0" applyFill="1" applyBorder="1" applyAlignment="1">
      <alignment horizontal="right"/>
    </xf>
    <xf numFmtId="0" fontId="1" fillId="0" borderId="0" xfId="0" applyFont="1" applyFill="1" applyBorder="1" applyAlignment="1"/>
    <xf numFmtId="0" fontId="0" fillId="0" borderId="0" xfId="0" applyBorder="1" applyAlignment="1"/>
    <xf numFmtId="0" fontId="0" fillId="0" borderId="0" xfId="0" applyFill="1" applyBorder="1" applyAlignment="1"/>
    <xf numFmtId="165" fontId="0" fillId="0" borderId="0" xfId="0" applyNumberFormat="1" applyFill="1" applyBorder="1" applyAlignment="1">
      <alignment horizontal="center"/>
    </xf>
    <xf numFmtId="0" fontId="10" fillId="0" borderId="32" xfId="0" applyFont="1" applyBorder="1" applyAlignment="1"/>
    <xf numFmtId="0" fontId="10" fillId="0" borderId="0" xfId="0" applyFont="1" applyBorder="1" applyAlignment="1"/>
    <xf numFmtId="0" fontId="10" fillId="0" borderId="41" xfId="0" applyFont="1" applyBorder="1" applyAlignment="1"/>
    <xf numFmtId="0" fontId="10" fillId="0" borderId="49" xfId="0" applyFont="1" applyBorder="1" applyAlignment="1"/>
    <xf numFmtId="0" fontId="10" fillId="0" borderId="29" xfId="0" applyFont="1" applyBorder="1" applyAlignment="1"/>
    <xf numFmtId="0" fontId="10" fillId="0" borderId="28" xfId="0" applyFont="1" applyBorder="1" applyAlignment="1"/>
    <xf numFmtId="0" fontId="54" fillId="0" borderId="49" xfId="0" applyFont="1" applyBorder="1" applyAlignment="1">
      <alignment horizontal="center"/>
    </xf>
    <xf numFmtId="0" fontId="54" fillId="0" borderId="29" xfId="0" applyFont="1" applyBorder="1" applyAlignment="1">
      <alignment horizontal="center"/>
    </xf>
    <xf numFmtId="0" fontId="49" fillId="0" borderId="40" xfId="0" applyFont="1" applyFill="1" applyBorder="1" applyAlignment="1"/>
    <xf numFmtId="0" fontId="10" fillId="0" borderId="49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0" fontId="6" fillId="0" borderId="40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0" fontId="10" fillId="0" borderId="32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4" fillId="0" borderId="38" xfId="0" applyFont="1" applyBorder="1" applyAlignment="1">
      <alignment horizontal="center" vertical="center"/>
    </xf>
    <xf numFmtId="0" fontId="44" fillId="0" borderId="15" xfId="0" applyFont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/>
    </xf>
    <xf numFmtId="0" fontId="10" fillId="5" borderId="41" xfId="0" applyFont="1" applyFill="1" applyBorder="1" applyAlignment="1">
      <alignment horizontal="center" vertical="center"/>
    </xf>
    <xf numFmtId="0" fontId="52" fillId="5" borderId="38" xfId="0" applyFont="1" applyFill="1" applyBorder="1" applyAlignment="1">
      <alignment horizontal="center" vertical="center"/>
    </xf>
    <xf numFmtId="0" fontId="52" fillId="5" borderId="15" xfId="0" applyFont="1" applyFill="1" applyBorder="1" applyAlignment="1">
      <alignment horizontal="center" vertical="center"/>
    </xf>
    <xf numFmtId="0" fontId="50" fillId="5" borderId="22" xfId="0" applyFont="1" applyFill="1" applyBorder="1" applyAlignment="1">
      <alignment horizontal="center" vertical="center"/>
    </xf>
    <xf numFmtId="0" fontId="50" fillId="5" borderId="23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41" xfId="0" applyFont="1" applyFill="1" applyBorder="1" applyAlignment="1">
      <alignment horizontal="center"/>
    </xf>
    <xf numFmtId="164" fontId="4" fillId="0" borderId="40" xfId="0" applyNumberFormat="1" applyFont="1" applyFill="1" applyBorder="1" applyAlignment="1">
      <alignment horizontal="left"/>
    </xf>
    <xf numFmtId="164" fontId="4" fillId="0" borderId="15" xfId="0" applyNumberFormat="1" applyFont="1" applyFill="1" applyBorder="1" applyAlignment="1">
      <alignment horizontal="left"/>
    </xf>
    <xf numFmtId="164" fontId="4" fillId="0" borderId="29" xfId="0" applyNumberFormat="1" applyFont="1" applyFill="1" applyBorder="1" applyAlignment="1">
      <alignment horizontal="left"/>
    </xf>
    <xf numFmtId="164" fontId="4" fillId="0" borderId="28" xfId="0" applyNumberFormat="1" applyFont="1" applyFill="1" applyBorder="1" applyAlignment="1">
      <alignment horizontal="left"/>
    </xf>
    <xf numFmtId="0" fontId="4" fillId="0" borderId="49" xfId="0" applyFont="1" applyFill="1" applyBorder="1" applyAlignment="1">
      <alignment horizontal="right"/>
    </xf>
    <xf numFmtId="0" fontId="4" fillId="0" borderId="29" xfId="0" applyFont="1" applyFill="1" applyBorder="1" applyAlignment="1">
      <alignment horizontal="right"/>
    </xf>
    <xf numFmtId="165" fontId="0" fillId="0" borderId="49" xfId="0" applyNumberFormat="1" applyFill="1" applyBorder="1" applyAlignment="1">
      <alignment horizontal="left"/>
    </xf>
    <xf numFmtId="165" fontId="0" fillId="0" borderId="29" xfId="0" applyNumberFormat="1" applyFill="1" applyBorder="1" applyAlignment="1">
      <alignment horizontal="left"/>
    </xf>
    <xf numFmtId="165" fontId="0" fillId="0" borderId="28" xfId="0" applyNumberForma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0" fillId="0" borderId="0" xfId="0" applyAlignment="1"/>
    <xf numFmtId="0" fontId="5" fillId="3" borderId="0" xfId="0" applyFont="1" applyFill="1" applyAlignment="1">
      <alignment horizontal="left"/>
    </xf>
    <xf numFmtId="0" fontId="3" fillId="0" borderId="49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23" fillId="5" borderId="4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0" fontId="10" fillId="5" borderId="38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/>
    </xf>
    <xf numFmtId="0" fontId="4" fillId="5" borderId="41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4" fillId="0" borderId="28" xfId="0" applyFont="1" applyBorder="1" applyAlignment="1">
      <alignment horizontal="center"/>
    </xf>
    <xf numFmtId="0" fontId="1" fillId="9" borderId="0" xfId="0" applyFont="1" applyFill="1" applyBorder="1" applyAlignment="1"/>
    <xf numFmtId="0" fontId="0" fillId="9" borderId="0" xfId="0" applyFill="1" applyBorder="1" applyAlignment="1"/>
    <xf numFmtId="0" fontId="10" fillId="0" borderId="32" xfId="0" applyFont="1" applyFill="1" applyBorder="1" applyAlignment="1"/>
    <xf numFmtId="0" fontId="10" fillId="0" borderId="0" xfId="0" applyFont="1" applyFill="1" applyBorder="1" applyAlignment="1"/>
    <xf numFmtId="0" fontId="10" fillId="0" borderId="28" xfId="0" applyFont="1" applyFill="1" applyBorder="1" applyAlignment="1"/>
    <xf numFmtId="0" fontId="4" fillId="0" borderId="38" xfId="0" applyFont="1" applyFill="1" applyBorder="1" applyAlignment="1">
      <alignment horizontal="right"/>
    </xf>
    <xf numFmtId="0" fontId="0" fillId="0" borderId="40" xfId="0" applyBorder="1" applyAlignment="1"/>
    <xf numFmtId="165" fontId="4" fillId="0" borderId="49" xfId="0" applyNumberFormat="1" applyFont="1" applyFill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23" fillId="0" borderId="41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0" fillId="0" borderId="29" xfId="0" applyBorder="1" applyAlignment="1">
      <alignment horizontal="right"/>
    </xf>
    <xf numFmtId="164" fontId="0" fillId="0" borderId="28" xfId="0" applyNumberFormat="1" applyBorder="1" applyAlignment="1">
      <alignment horizontal="left"/>
    </xf>
    <xf numFmtId="164" fontId="0" fillId="0" borderId="15" xfId="0" applyNumberFormat="1" applyBorder="1" applyAlignment="1">
      <alignment horizontal="left"/>
    </xf>
    <xf numFmtId="0" fontId="3" fillId="0" borderId="29" xfId="0" applyFont="1" applyBorder="1" applyAlignment="1"/>
    <xf numFmtId="0" fontId="3" fillId="0" borderId="28" xfId="0" applyFont="1" applyBorder="1" applyAlignment="1"/>
    <xf numFmtId="2" fontId="4" fillId="5" borderId="8" xfId="0" quotePrefix="1" applyNumberFormat="1" applyFont="1" applyFill="1" applyBorder="1" applyAlignment="1">
      <alignment horizontal="center"/>
    </xf>
    <xf numFmtId="0" fontId="4" fillId="5" borderId="45" xfId="0" applyFont="1" applyFill="1" applyBorder="1" applyAlignment="1">
      <alignment horizontal="center"/>
    </xf>
    <xf numFmtId="0" fontId="6" fillId="0" borderId="29" xfId="0" applyFont="1" applyBorder="1" applyAlignment="1">
      <alignment horizontal="center" shrinkToFit="1"/>
    </xf>
    <xf numFmtId="0" fontId="0" fillId="0" borderId="29" xfId="0" applyBorder="1" applyAlignment="1"/>
    <xf numFmtId="0" fontId="0" fillId="0" borderId="28" xfId="0" applyBorder="1" applyAlignment="1"/>
    <xf numFmtId="0" fontId="4" fillId="0" borderId="38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2" fontId="4" fillId="0" borderId="0" xfId="0" quotePrefix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3" fillId="4" borderId="29" xfId="0" applyFont="1" applyFill="1" applyBorder="1" applyAlignment="1"/>
    <xf numFmtId="0" fontId="3" fillId="4" borderId="28" xfId="0" applyFont="1" applyFill="1" applyBorder="1" applyAlignment="1"/>
    <xf numFmtId="0" fontId="1" fillId="12" borderId="32" xfId="0" applyFont="1" applyFill="1" applyBorder="1" applyAlignment="1">
      <alignment horizontal="center"/>
    </xf>
    <xf numFmtId="0" fontId="0" fillId="12" borderId="41" xfId="0" applyFill="1" applyBorder="1" applyAlignment="1">
      <alignment horizontal="center"/>
    </xf>
    <xf numFmtId="0" fontId="8" fillId="12" borderId="6" xfId="0" applyFont="1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8" fillId="12" borderId="0" xfId="0" applyFont="1" applyFill="1" applyBorder="1" applyAlignment="1">
      <alignment horizontal="center"/>
    </xf>
    <xf numFmtId="0" fontId="0" fillId="12" borderId="41" xfId="0" applyFill="1" applyBorder="1" applyAlignment="1"/>
    <xf numFmtId="0" fontId="1" fillId="12" borderId="0" xfId="0" applyFont="1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6" fillId="0" borderId="0" xfId="0" applyFont="1" applyBorder="1" applyAlignment="1">
      <alignment horizontal="left" shrinkToFit="1"/>
    </xf>
    <xf numFmtId="0" fontId="0" fillId="0" borderId="0" xfId="0" applyAlignment="1">
      <alignment horizontal="left"/>
    </xf>
    <xf numFmtId="0" fontId="12" fillId="5" borderId="6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3" fillId="5" borderId="49" xfId="0" applyFont="1" applyFill="1" applyBorder="1" applyAlignment="1">
      <alignment horizontal="center"/>
    </xf>
    <xf numFmtId="0" fontId="3" fillId="5" borderId="29" xfId="0" applyFont="1" applyFill="1" applyBorder="1" applyAlignment="1">
      <alignment horizontal="center"/>
    </xf>
    <xf numFmtId="0" fontId="3" fillId="5" borderId="28" xfId="0" applyFont="1" applyFill="1" applyBorder="1" applyAlignment="1">
      <alignment horizontal="center"/>
    </xf>
    <xf numFmtId="0" fontId="51" fillId="12" borderId="0" xfId="0" applyFont="1" applyFill="1" applyBorder="1" applyAlignment="1">
      <alignment horizontal="center"/>
    </xf>
    <xf numFmtId="0" fontId="51" fillId="0" borderId="0" xfId="0" applyFont="1" applyAlignment="1">
      <alignment horizontal="center"/>
    </xf>
    <xf numFmtId="0" fontId="4" fillId="5" borderId="38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51" fillId="12" borderId="32" xfId="0" applyFont="1" applyFill="1" applyBorder="1" applyAlignment="1">
      <alignment horizontal="center"/>
    </xf>
    <xf numFmtId="0" fontId="51" fillId="12" borderId="41" xfId="0" applyFont="1" applyFill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0" fillId="0" borderId="57" xfId="0" applyBorder="1" applyAlignment="1"/>
    <xf numFmtId="0" fontId="0" fillId="0" borderId="43" xfId="0" applyBorder="1" applyAlignment="1"/>
    <xf numFmtId="0" fontId="1" fillId="8" borderId="53" xfId="0" applyFont="1" applyFill="1" applyBorder="1" applyAlignment="1">
      <alignment horizontal="center"/>
    </xf>
    <xf numFmtId="0" fontId="0" fillId="8" borderId="58" xfId="0" applyFill="1" applyBorder="1" applyAlignment="1">
      <alignment horizontal="center"/>
    </xf>
    <xf numFmtId="0" fontId="1" fillId="0" borderId="49" xfId="0" applyFont="1" applyBorder="1" applyAlignment="1"/>
    <xf numFmtId="2" fontId="4" fillId="10" borderId="8" xfId="0" quotePrefix="1" applyNumberFormat="1" applyFont="1" applyFill="1" applyBorder="1" applyAlignment="1">
      <alignment horizontal="center"/>
    </xf>
    <xf numFmtId="0" fontId="0" fillId="0" borderId="18" xfId="0" applyBorder="1" applyAlignment="1"/>
    <xf numFmtId="0" fontId="8" fillId="0" borderId="18" xfId="0" applyFont="1" applyBorder="1" applyAlignment="1"/>
    <xf numFmtId="0" fontId="8" fillId="0" borderId="9" xfId="0" applyFont="1" applyBorder="1" applyAlignment="1"/>
    <xf numFmtId="0" fontId="1" fillId="5" borderId="6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49" fillId="0" borderId="40" xfId="0" applyFont="1" applyBorder="1" applyAlignment="1">
      <alignment horizontal="left"/>
    </xf>
    <xf numFmtId="0" fontId="57" fillId="0" borderId="40" xfId="0" applyFont="1" applyBorder="1" applyAlignment="1">
      <alignment horizontal="left"/>
    </xf>
    <xf numFmtId="0" fontId="8" fillId="0" borderId="26" xfId="0" applyFont="1" applyBorder="1" applyAlignment="1"/>
    <xf numFmtId="0" fontId="8" fillId="0" borderId="3" xfId="0" applyFont="1" applyBorder="1" applyAlignment="1"/>
    <xf numFmtId="0" fontId="8" fillId="0" borderId="0" xfId="0" applyFont="1" applyBorder="1" applyAlignment="1"/>
    <xf numFmtId="0" fontId="8" fillId="0" borderId="7" xfId="0" applyFont="1" applyBorder="1" applyAlignment="1"/>
    <xf numFmtId="0" fontId="4" fillId="0" borderId="0" xfId="0" applyFont="1" applyFill="1" applyBorder="1" applyAlignment="1"/>
    <xf numFmtId="0" fontId="1" fillId="0" borderId="0" xfId="0" applyFont="1" applyBorder="1" applyAlignment="1"/>
    <xf numFmtId="0" fontId="1" fillId="5" borderId="49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5" fillId="0" borderId="0" xfId="0" applyFont="1" applyAlignment="1"/>
    <xf numFmtId="0" fontId="10" fillId="10" borderId="6" xfId="0" applyFont="1" applyFill="1" applyBorder="1" applyAlignment="1"/>
    <xf numFmtId="0" fontId="10" fillId="0" borderId="0" xfId="0" applyFont="1" applyAlignment="1"/>
    <xf numFmtId="0" fontId="4" fillId="10" borderId="6" xfId="0" applyFont="1" applyFill="1" applyBorder="1" applyAlignment="1">
      <alignment horizontal="left"/>
    </xf>
    <xf numFmtId="0" fontId="1" fillId="5" borderId="6" xfId="0" applyFont="1" applyFill="1" applyBorder="1" applyAlignment="1"/>
    <xf numFmtId="0" fontId="0" fillId="5" borderId="0" xfId="0" applyFill="1" applyBorder="1" applyAlignment="1"/>
    <xf numFmtId="0" fontId="1" fillId="5" borderId="0" xfId="0" applyFont="1" applyFill="1" applyBorder="1" applyAlignment="1">
      <alignment horizontal="right"/>
    </xf>
    <xf numFmtId="0" fontId="0" fillId="5" borderId="0" xfId="0" applyFill="1" applyBorder="1" applyAlignment="1">
      <alignment horizontal="right"/>
    </xf>
    <xf numFmtId="0" fontId="3" fillId="0" borderId="40" xfId="0" applyFont="1" applyBorder="1" applyAlignment="1"/>
    <xf numFmtId="0" fontId="10" fillId="5" borderId="47" xfId="0" applyFont="1" applyFill="1" applyBorder="1" applyAlignment="1">
      <alignment horizontal="right"/>
    </xf>
    <xf numFmtId="167" fontId="3" fillId="0" borderId="52" xfId="1" applyNumberFormat="1" applyFont="1" applyFill="1" applyBorder="1" applyAlignment="1">
      <alignment horizontal="left"/>
    </xf>
    <xf numFmtId="0" fontId="3" fillId="0" borderId="48" xfId="0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1" fillId="8" borderId="0" xfId="0" applyFont="1" applyFill="1" applyBorder="1" applyAlignment="1">
      <alignment horizontal="right"/>
    </xf>
    <xf numFmtId="0" fontId="0" fillId="8" borderId="0" xfId="0" applyFill="1" applyBorder="1" applyAlignment="1">
      <alignment horizontal="right"/>
    </xf>
    <xf numFmtId="0" fontId="3" fillId="8" borderId="0" xfId="0" applyFont="1" applyFill="1" applyBorder="1" applyAlignment="1"/>
    <xf numFmtId="0" fontId="3" fillId="8" borderId="0" xfId="0" applyFont="1" applyFill="1" applyBorder="1" applyAlignment="1">
      <alignment horizontal="center"/>
    </xf>
    <xf numFmtId="0" fontId="3" fillId="8" borderId="41" xfId="0" applyFont="1" applyFill="1" applyBorder="1" applyAlignment="1">
      <alignment horizontal="center"/>
    </xf>
    <xf numFmtId="0" fontId="1" fillId="8" borderId="40" xfId="0" applyFont="1" applyFill="1" applyBorder="1" applyAlignment="1">
      <alignment horizontal="right"/>
    </xf>
    <xf numFmtId="0" fontId="0" fillId="8" borderId="40" xfId="0" applyFill="1" applyBorder="1" applyAlignment="1">
      <alignment horizontal="right"/>
    </xf>
    <xf numFmtId="0" fontId="3" fillId="8" borderId="29" xfId="0" applyFont="1" applyFill="1" applyBorder="1" applyAlignment="1"/>
    <xf numFmtId="0" fontId="3" fillId="8" borderId="28" xfId="0" applyFont="1" applyFill="1" applyBorder="1" applyAlignment="1"/>
    <xf numFmtId="0" fontId="62" fillId="9" borderId="49" xfId="0" applyFont="1" applyFill="1" applyBorder="1" applyAlignment="1"/>
    <xf numFmtId="0" fontId="62" fillId="9" borderId="29" xfId="0" applyFont="1" applyFill="1" applyBorder="1" applyAlignment="1"/>
    <xf numFmtId="0" fontId="0" fillId="9" borderId="29" xfId="0" applyFill="1" applyBorder="1" applyAlignment="1"/>
    <xf numFmtId="0" fontId="0" fillId="9" borderId="28" xfId="0" applyFill="1" applyBorder="1" applyAlignment="1"/>
    <xf numFmtId="14" fontId="63" fillId="0" borderId="0" xfId="0" applyNumberFormat="1" applyFont="1" applyAlignment="1">
      <alignment horizontal="center"/>
    </xf>
    <xf numFmtId="0" fontId="63" fillId="0" borderId="0" xfId="0" applyFont="1" applyAlignment="1"/>
    <xf numFmtId="0" fontId="4" fillId="5" borderId="29" xfId="0" applyFont="1" applyFill="1" applyBorder="1" applyAlignment="1"/>
    <xf numFmtId="0" fontId="6" fillId="0" borderId="49" xfId="0" applyFont="1" applyBorder="1" applyAlignment="1"/>
    <xf numFmtId="0" fontId="56" fillId="0" borderId="29" xfId="0" applyFont="1" applyBorder="1" applyAlignment="1"/>
    <xf numFmtId="2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6" fillId="5" borderId="21" xfId="0" applyFont="1" applyFill="1" applyBorder="1" applyAlignment="1">
      <alignment horizontal="center" vertical="center"/>
    </xf>
    <xf numFmtId="0" fontId="56" fillId="5" borderId="15" xfId="0" applyFont="1" applyFill="1" applyBorder="1" applyAlignment="1">
      <alignment horizontal="center" vertical="center"/>
    </xf>
    <xf numFmtId="0" fontId="65" fillId="5" borderId="29" xfId="0" applyFont="1" applyFill="1" applyBorder="1" applyAlignment="1"/>
    <xf numFmtId="0" fontId="49" fillId="5" borderId="28" xfId="0" applyFont="1" applyFill="1" applyBorder="1" applyAlignment="1"/>
    <xf numFmtId="0" fontId="6" fillId="5" borderId="49" xfId="0" applyFont="1" applyFill="1" applyBorder="1" applyAlignment="1">
      <alignment horizontal="right"/>
    </xf>
    <xf numFmtId="0" fontId="56" fillId="5" borderId="29" xfId="0" applyFont="1" applyFill="1" applyBorder="1" applyAlignment="1">
      <alignment horizontal="right"/>
    </xf>
    <xf numFmtId="0" fontId="0" fillId="5" borderId="29" xfId="0" applyFill="1" applyBorder="1" applyAlignment="1">
      <alignment horizontal="right"/>
    </xf>
    <xf numFmtId="0" fontId="49" fillId="5" borderId="32" xfId="0" applyFont="1" applyFill="1" applyBorder="1" applyAlignment="1">
      <alignment horizontal="left"/>
    </xf>
    <xf numFmtId="0" fontId="66" fillId="0" borderId="0" xfId="0" applyFont="1" applyBorder="1" applyAlignment="1">
      <alignment horizontal="left"/>
    </xf>
    <xf numFmtId="0" fontId="1" fillId="15" borderId="40" xfId="0" applyFont="1" applyFill="1" applyBorder="1" applyAlignment="1">
      <alignment horizontal="right"/>
    </xf>
    <xf numFmtId="0" fontId="0" fillId="0" borderId="40" xfId="0" applyBorder="1" applyAlignment="1">
      <alignment horizontal="right"/>
    </xf>
  </cellXfs>
  <cellStyles count="3">
    <cellStyle name="Prozent" xfId="1" builtinId="5"/>
    <cellStyle name="Standard" xfId="0" builtinId="0"/>
    <cellStyle name="Warnender Text" xfId="2" builtin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300" u="sng"/>
              <a:t>Diagramm 3a</a:t>
            </a:r>
            <a:r>
              <a:rPr lang="en-US" sz="1300"/>
              <a:t>  Apsidenentfernunge</a:t>
            </a:r>
            <a:r>
              <a:rPr lang="en-US" sz="1300" b="1" i="0" u="none" strike="noStrike" baseline="0">
                <a:effectLst/>
              </a:rPr>
              <a:t>n 2008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300" b="1" i="0" baseline="0">
                <a:effectLst/>
              </a:rPr>
              <a:t>(</a:t>
            </a:r>
            <a:r>
              <a:rPr lang="el-GR" sz="1300" b="1" i="1" baseline="0">
                <a:effectLst/>
              </a:rPr>
              <a:t>ρ</a:t>
            </a:r>
            <a:r>
              <a:rPr lang="de-DE" sz="900" b="1" i="0" baseline="0">
                <a:effectLst/>
              </a:rPr>
              <a:t>min</a:t>
            </a:r>
            <a:r>
              <a:rPr lang="de-DE" sz="1300" b="1" i="0" baseline="0">
                <a:effectLst/>
              </a:rPr>
              <a:t> und </a:t>
            </a:r>
            <a:r>
              <a:rPr lang="el-GR" sz="1300" b="1" i="1" baseline="0">
                <a:effectLst/>
              </a:rPr>
              <a:t>ρ</a:t>
            </a:r>
            <a:r>
              <a:rPr lang="de-DE" sz="900" b="1" i="0" baseline="0">
                <a:effectLst/>
              </a:rPr>
              <a:t>max</a:t>
            </a:r>
            <a:r>
              <a:rPr lang="en-US" sz="1300" b="1" i="0" baseline="0">
                <a:effectLst/>
              </a:rPr>
              <a:t>)   </a:t>
            </a:r>
            <a:endParaRPr lang="de-DE" sz="13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300"/>
              <a:t>  </a:t>
            </a:r>
          </a:p>
        </c:rich>
      </c:tx>
      <c:layout>
        <c:manualLayout>
          <c:xMode val="edge"/>
          <c:yMode val="edge"/>
          <c:x val="0.14869976265561263"/>
          <c:y val="7.233245734521557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855780382103437E-2"/>
          <c:y val="8.9272833701542723E-2"/>
          <c:w val="0.88333241775010651"/>
          <c:h val="0.8166206747092396"/>
        </c:manualLayout>
      </c:layout>
      <c:scatterChart>
        <c:scatterStyle val="smoothMarker"/>
        <c:varyColors val="0"/>
        <c:ser>
          <c:idx val="4"/>
          <c:order val="4"/>
          <c:tx>
            <c:v>Schwankung der großen Halbachse</c:v>
          </c:tx>
          <c:marker>
            <c:symbol val="none"/>
          </c:marker>
          <c:xVal>
            <c:numRef>
              <c:f>Exzentrizität!$C$6:$C$32</c:f>
              <c:numCache>
                <c:formatCode>0.0</c:formatCode>
                <c:ptCount val="27"/>
                <c:pt idx="0">
                  <c:v>19.37166666666424</c:v>
                </c:pt>
                <c:pt idx="1">
                  <c:v>31.163333333328481</c:v>
                </c:pt>
                <c:pt idx="2">
                  <c:v>45.038333333328481</c:v>
                </c:pt>
                <c:pt idx="3">
                  <c:v>59.038333333328481</c:v>
                </c:pt>
                <c:pt idx="4">
                  <c:v>70.913333333328481</c:v>
                </c:pt>
                <c:pt idx="5">
                  <c:v>86.83</c:v>
                </c:pt>
                <c:pt idx="6">
                  <c:v>98.788333333328481</c:v>
                </c:pt>
                <c:pt idx="7">
                  <c:v>114.41333333332848</c:v>
                </c:pt>
                <c:pt idx="8">
                  <c:v>127.12166666666424</c:v>
                </c:pt>
                <c:pt idx="9">
                  <c:v>141.58000000000001</c:v>
                </c:pt>
                <c:pt idx="10">
                  <c:v>155.5383333333285</c:v>
                </c:pt>
                <c:pt idx="11">
                  <c:v>168.74666666666425</c:v>
                </c:pt>
                <c:pt idx="12">
                  <c:v>183.87166666666425</c:v>
                </c:pt>
                <c:pt idx="13">
                  <c:v>196.1633333333285</c:v>
                </c:pt>
                <c:pt idx="14">
                  <c:v>211.95500000000001</c:v>
                </c:pt>
                <c:pt idx="15">
                  <c:v>223.83</c:v>
                </c:pt>
                <c:pt idx="16">
                  <c:v>239.1633333333285</c:v>
                </c:pt>
                <c:pt idx="17">
                  <c:v>251.62166666666425</c:v>
                </c:pt>
                <c:pt idx="18">
                  <c:v>264.12166666666423</c:v>
                </c:pt>
                <c:pt idx="19">
                  <c:v>279.45499999999998</c:v>
                </c:pt>
                <c:pt idx="20">
                  <c:v>291.24666666666423</c:v>
                </c:pt>
                <c:pt idx="21">
                  <c:v>307.20499999999998</c:v>
                </c:pt>
                <c:pt idx="22">
                  <c:v>319.41333333332847</c:v>
                </c:pt>
                <c:pt idx="23">
                  <c:v>334.70499999999998</c:v>
                </c:pt>
                <c:pt idx="24">
                  <c:v>347.91333333332847</c:v>
                </c:pt>
                <c:pt idx="25">
                  <c:v>361.74666666666423</c:v>
                </c:pt>
                <c:pt idx="26">
                  <c:v>376.45499999999998</c:v>
                </c:pt>
              </c:numCache>
            </c:numRef>
          </c:xVal>
          <c:yVal>
            <c:numRef>
              <c:f>Exzentrizität!$Y$6:$Y$32</c:f>
              <c:numCache>
                <c:formatCode>0</c:formatCode>
                <c:ptCount val="27"/>
                <c:pt idx="0" formatCode="General">
                  <c:v>385615</c:v>
                </c:pt>
                <c:pt idx="1">
                  <c:v>386966.5</c:v>
                </c:pt>
                <c:pt idx="2">
                  <c:v>387259.5</c:v>
                </c:pt>
                <c:pt idx="3">
                  <c:v>386721.5</c:v>
                </c:pt>
                <c:pt idx="4" formatCode="General">
                  <c:v>385499</c:v>
                </c:pt>
                <c:pt idx="5" formatCode="General">
                  <c:v>384046</c:v>
                </c:pt>
                <c:pt idx="6" formatCode="General">
                  <c:v>383265</c:v>
                </c:pt>
                <c:pt idx="7">
                  <c:v>382471.5</c:v>
                </c:pt>
                <c:pt idx="8">
                  <c:v>382010.5</c:v>
                </c:pt>
                <c:pt idx="9">
                  <c:v>381801.5</c:v>
                </c:pt>
                <c:pt idx="10">
                  <c:v>381830.5</c:v>
                </c:pt>
                <c:pt idx="11" formatCode="General">
                  <c:v>382114</c:v>
                </c:pt>
                <c:pt idx="12">
                  <c:v>382706.5</c:v>
                </c:pt>
                <c:pt idx="13" formatCode="General">
                  <c:v>383426</c:v>
                </c:pt>
                <c:pt idx="14">
                  <c:v>384391.5</c:v>
                </c:pt>
                <c:pt idx="15" formatCode="General">
                  <c:v>385278</c:v>
                </c:pt>
                <c:pt idx="16" formatCode="General">
                  <c:v>386448</c:v>
                </c:pt>
                <c:pt idx="17" formatCode="General">
                  <c:v>386907</c:v>
                </c:pt>
                <c:pt idx="18" formatCode="General">
                  <c:v>386643</c:v>
                </c:pt>
                <c:pt idx="19">
                  <c:v>385360.5</c:v>
                </c:pt>
                <c:pt idx="20">
                  <c:v>384461.5</c:v>
                </c:pt>
                <c:pt idx="21" formatCode="General">
                  <c:v>383362</c:v>
                </c:pt>
                <c:pt idx="22">
                  <c:v>382535.5</c:v>
                </c:pt>
                <c:pt idx="23" formatCode="General">
                  <c:v>381940</c:v>
                </c:pt>
                <c:pt idx="24" formatCode="General">
                  <c:v>381583</c:v>
                </c:pt>
                <c:pt idx="25">
                  <c:v>381600.5</c:v>
                </c:pt>
                <c:pt idx="26">
                  <c:v>381948.5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361920"/>
        <c:axId val="143364480"/>
      </c:scatterChart>
      <c:scatterChart>
        <c:scatterStyle val="lineMarker"/>
        <c:varyColors val="0"/>
        <c:ser>
          <c:idx val="1"/>
          <c:order val="0"/>
          <c:tx>
            <c:v>Entfernung des Mondes im Perigäum</c:v>
          </c:tx>
          <c:spPr>
            <a:ln w="25400">
              <a:noFill/>
            </a:ln>
          </c:spPr>
          <c:marker>
            <c:symbol val="diamond"/>
            <c:size val="7"/>
            <c:spPr>
              <a:solidFill>
                <a:schemeClr val="tx2">
                  <a:lumMod val="75000"/>
                </a:schemeClr>
              </a:solidFill>
            </c:spPr>
          </c:marker>
          <c:xVal>
            <c:numRef>
              <c:f>Exzentrizität!$C$6:$C$32</c:f>
              <c:numCache>
                <c:formatCode>0.0</c:formatCode>
                <c:ptCount val="27"/>
                <c:pt idx="0">
                  <c:v>19.37166666666424</c:v>
                </c:pt>
                <c:pt idx="1">
                  <c:v>31.163333333328481</c:v>
                </c:pt>
                <c:pt idx="2">
                  <c:v>45.038333333328481</c:v>
                </c:pt>
                <c:pt idx="3">
                  <c:v>59.038333333328481</c:v>
                </c:pt>
                <c:pt idx="4">
                  <c:v>70.913333333328481</c:v>
                </c:pt>
                <c:pt idx="5">
                  <c:v>86.83</c:v>
                </c:pt>
                <c:pt idx="6">
                  <c:v>98.788333333328481</c:v>
                </c:pt>
                <c:pt idx="7">
                  <c:v>114.41333333332848</c:v>
                </c:pt>
                <c:pt idx="8">
                  <c:v>127.12166666666424</c:v>
                </c:pt>
                <c:pt idx="9">
                  <c:v>141.58000000000001</c:v>
                </c:pt>
                <c:pt idx="10">
                  <c:v>155.5383333333285</c:v>
                </c:pt>
                <c:pt idx="11">
                  <c:v>168.74666666666425</c:v>
                </c:pt>
                <c:pt idx="12">
                  <c:v>183.87166666666425</c:v>
                </c:pt>
                <c:pt idx="13">
                  <c:v>196.1633333333285</c:v>
                </c:pt>
                <c:pt idx="14">
                  <c:v>211.95500000000001</c:v>
                </c:pt>
                <c:pt idx="15">
                  <c:v>223.83</c:v>
                </c:pt>
                <c:pt idx="16">
                  <c:v>239.1633333333285</c:v>
                </c:pt>
                <c:pt idx="17">
                  <c:v>251.62166666666425</c:v>
                </c:pt>
                <c:pt idx="18">
                  <c:v>264.12166666666423</c:v>
                </c:pt>
                <c:pt idx="19">
                  <c:v>279.45499999999998</c:v>
                </c:pt>
                <c:pt idx="20">
                  <c:v>291.24666666666423</c:v>
                </c:pt>
                <c:pt idx="21">
                  <c:v>307.20499999999998</c:v>
                </c:pt>
                <c:pt idx="22">
                  <c:v>319.41333333332847</c:v>
                </c:pt>
                <c:pt idx="23">
                  <c:v>334.70499999999998</c:v>
                </c:pt>
                <c:pt idx="24">
                  <c:v>347.91333333332847</c:v>
                </c:pt>
                <c:pt idx="25">
                  <c:v>361.74666666666423</c:v>
                </c:pt>
                <c:pt idx="26">
                  <c:v>376.45499999999998</c:v>
                </c:pt>
              </c:numCache>
            </c:numRef>
          </c:xVal>
          <c:yVal>
            <c:numRef>
              <c:f>Exzentrizität!$F$6:$F$32</c:f>
              <c:numCache>
                <c:formatCode>General</c:formatCode>
                <c:ptCount val="27"/>
                <c:pt idx="0">
                  <c:v>366430</c:v>
                </c:pt>
                <c:pt idx="2">
                  <c:v>370219</c:v>
                </c:pt>
                <c:pt idx="4">
                  <c:v>366298</c:v>
                </c:pt>
                <c:pt idx="6">
                  <c:v>361080</c:v>
                </c:pt>
                <c:pt idx="8">
                  <c:v>357771</c:v>
                </c:pt>
                <c:pt idx="10">
                  <c:v>357251</c:v>
                </c:pt>
                <c:pt idx="12">
                  <c:v>359513</c:v>
                </c:pt>
                <c:pt idx="14">
                  <c:v>363883</c:v>
                </c:pt>
                <c:pt idx="16">
                  <c:v>368696</c:v>
                </c:pt>
                <c:pt idx="18">
                  <c:v>368886</c:v>
                </c:pt>
                <c:pt idx="20">
                  <c:v>363823</c:v>
                </c:pt>
                <c:pt idx="22">
                  <c:v>358971</c:v>
                </c:pt>
                <c:pt idx="24">
                  <c:v>356566</c:v>
                </c:pt>
                <c:pt idx="26">
                  <c:v>357497</c:v>
                </c:pt>
              </c:numCache>
            </c:numRef>
          </c:yVal>
          <c:smooth val="0"/>
        </c:ser>
        <c:ser>
          <c:idx val="2"/>
          <c:order val="1"/>
          <c:tx>
            <c:v>Entfernung des Mondes im Apogäum</c:v>
          </c:tx>
          <c:spPr>
            <a:ln w="25400">
              <a:noFill/>
            </a:ln>
          </c:spPr>
          <c:marker>
            <c:symbol val="circle"/>
            <c:size val="7"/>
            <c:spPr>
              <a:solidFill>
                <a:schemeClr val="accent3">
                  <a:lumMod val="50000"/>
                </a:schemeClr>
              </a:solidFill>
            </c:spPr>
          </c:marker>
          <c:xVal>
            <c:numRef>
              <c:f>Exzentrizität!$C$5:$C$33</c:f>
              <c:numCache>
                <c:formatCode>0.0</c:formatCode>
                <c:ptCount val="29"/>
                <c:pt idx="0">
                  <c:v>3.33</c:v>
                </c:pt>
                <c:pt idx="1">
                  <c:v>19.37166666666424</c:v>
                </c:pt>
                <c:pt idx="2">
                  <c:v>31.163333333328481</c:v>
                </c:pt>
                <c:pt idx="3">
                  <c:v>45.038333333328481</c:v>
                </c:pt>
                <c:pt idx="4">
                  <c:v>59.038333333328481</c:v>
                </c:pt>
                <c:pt idx="5">
                  <c:v>70.913333333328481</c:v>
                </c:pt>
                <c:pt idx="6">
                  <c:v>86.83</c:v>
                </c:pt>
                <c:pt idx="7">
                  <c:v>98.788333333328481</c:v>
                </c:pt>
                <c:pt idx="8">
                  <c:v>114.41333333332848</c:v>
                </c:pt>
                <c:pt idx="9">
                  <c:v>127.12166666666424</c:v>
                </c:pt>
                <c:pt idx="10">
                  <c:v>141.58000000000001</c:v>
                </c:pt>
                <c:pt idx="11">
                  <c:v>155.5383333333285</c:v>
                </c:pt>
                <c:pt idx="12">
                  <c:v>168.74666666666425</c:v>
                </c:pt>
                <c:pt idx="13">
                  <c:v>183.87166666666425</c:v>
                </c:pt>
                <c:pt idx="14">
                  <c:v>196.1633333333285</c:v>
                </c:pt>
                <c:pt idx="15">
                  <c:v>211.95500000000001</c:v>
                </c:pt>
                <c:pt idx="16">
                  <c:v>223.83</c:v>
                </c:pt>
                <c:pt idx="17">
                  <c:v>239.1633333333285</c:v>
                </c:pt>
                <c:pt idx="18">
                  <c:v>251.62166666666425</c:v>
                </c:pt>
                <c:pt idx="19">
                  <c:v>264.12166666666423</c:v>
                </c:pt>
                <c:pt idx="20">
                  <c:v>279.45499999999998</c:v>
                </c:pt>
                <c:pt idx="21">
                  <c:v>291.24666666666423</c:v>
                </c:pt>
                <c:pt idx="22">
                  <c:v>307.20499999999998</c:v>
                </c:pt>
                <c:pt idx="23">
                  <c:v>319.41333333332847</c:v>
                </c:pt>
                <c:pt idx="24">
                  <c:v>334.70499999999998</c:v>
                </c:pt>
                <c:pt idx="25">
                  <c:v>347.91333333332847</c:v>
                </c:pt>
                <c:pt idx="26">
                  <c:v>361.74666666666423</c:v>
                </c:pt>
                <c:pt idx="27">
                  <c:v>376.45499999999998</c:v>
                </c:pt>
                <c:pt idx="28">
                  <c:v>388.99666666666423</c:v>
                </c:pt>
              </c:numCache>
            </c:numRef>
          </c:xVal>
          <c:yVal>
            <c:numRef>
              <c:f>Exzentrizität!$E$5:$E$33</c:f>
              <c:numCache>
                <c:formatCode>General</c:formatCode>
                <c:ptCount val="29"/>
                <c:pt idx="0">
                  <c:v>405331</c:v>
                </c:pt>
                <c:pt idx="2">
                  <c:v>404533</c:v>
                </c:pt>
                <c:pt idx="4">
                  <c:v>404443</c:v>
                </c:pt>
                <c:pt idx="6">
                  <c:v>405092</c:v>
                </c:pt>
                <c:pt idx="8">
                  <c:v>405943</c:v>
                </c:pt>
                <c:pt idx="10">
                  <c:v>406403</c:v>
                </c:pt>
                <c:pt idx="12">
                  <c:v>406228</c:v>
                </c:pt>
                <c:pt idx="14">
                  <c:v>405452</c:v>
                </c:pt>
                <c:pt idx="16">
                  <c:v>404556</c:v>
                </c:pt>
                <c:pt idx="18">
                  <c:v>404214</c:v>
                </c:pt>
                <c:pt idx="20">
                  <c:v>404721</c:v>
                </c:pt>
                <c:pt idx="22">
                  <c:v>405724</c:v>
                </c:pt>
                <c:pt idx="24">
                  <c:v>406480</c:v>
                </c:pt>
                <c:pt idx="26">
                  <c:v>406601</c:v>
                </c:pt>
                <c:pt idx="28">
                  <c:v>406118</c:v>
                </c:pt>
              </c:numCache>
            </c:numRef>
          </c:yVal>
          <c:smooth val="0"/>
        </c:ser>
        <c:ser>
          <c:idx val="0"/>
          <c:order val="2"/>
          <c:tx>
            <c:v>ergänzte Werte</c:v>
          </c:tx>
          <c:spPr>
            <a:ln w="25400">
              <a:noFill/>
            </a:ln>
          </c:spPr>
          <c:marker>
            <c:symbol val="x"/>
            <c:size val="6"/>
            <c:spPr>
              <a:ln w="19050">
                <a:solidFill>
                  <a:srgbClr val="C00000"/>
                </a:solidFill>
              </a:ln>
            </c:spPr>
          </c:marker>
          <c:xVal>
            <c:numRef>
              <c:f>Exzentrizität!$C$6:$C$33</c:f>
              <c:numCache>
                <c:formatCode>0.0</c:formatCode>
                <c:ptCount val="28"/>
                <c:pt idx="0">
                  <c:v>19.37166666666424</c:v>
                </c:pt>
                <c:pt idx="1">
                  <c:v>31.163333333328481</c:v>
                </c:pt>
                <c:pt idx="2">
                  <c:v>45.038333333328481</c:v>
                </c:pt>
                <c:pt idx="3">
                  <c:v>59.038333333328481</c:v>
                </c:pt>
                <c:pt idx="4">
                  <c:v>70.913333333328481</c:v>
                </c:pt>
                <c:pt idx="5">
                  <c:v>86.83</c:v>
                </c:pt>
                <c:pt idx="6">
                  <c:v>98.788333333328481</c:v>
                </c:pt>
                <c:pt idx="7">
                  <c:v>114.41333333332848</c:v>
                </c:pt>
                <c:pt idx="8">
                  <c:v>127.12166666666424</c:v>
                </c:pt>
                <c:pt idx="9">
                  <c:v>141.58000000000001</c:v>
                </c:pt>
                <c:pt idx="10">
                  <c:v>155.5383333333285</c:v>
                </c:pt>
                <c:pt idx="11">
                  <c:v>168.74666666666425</c:v>
                </c:pt>
                <c:pt idx="12">
                  <c:v>183.87166666666425</c:v>
                </c:pt>
                <c:pt idx="13">
                  <c:v>196.1633333333285</c:v>
                </c:pt>
                <c:pt idx="14">
                  <c:v>211.95500000000001</c:v>
                </c:pt>
                <c:pt idx="15">
                  <c:v>223.83</c:v>
                </c:pt>
                <c:pt idx="16">
                  <c:v>239.1633333333285</c:v>
                </c:pt>
                <c:pt idx="17">
                  <c:v>251.62166666666425</c:v>
                </c:pt>
                <c:pt idx="18">
                  <c:v>264.12166666666423</c:v>
                </c:pt>
                <c:pt idx="19">
                  <c:v>279.45499999999998</c:v>
                </c:pt>
                <c:pt idx="20">
                  <c:v>291.24666666666423</c:v>
                </c:pt>
                <c:pt idx="21">
                  <c:v>307.20499999999998</c:v>
                </c:pt>
                <c:pt idx="22">
                  <c:v>319.41333333332847</c:v>
                </c:pt>
                <c:pt idx="23">
                  <c:v>334.70499999999998</c:v>
                </c:pt>
                <c:pt idx="24">
                  <c:v>347.91333333332847</c:v>
                </c:pt>
                <c:pt idx="25">
                  <c:v>361.74666666666423</c:v>
                </c:pt>
                <c:pt idx="26">
                  <c:v>376.45499999999998</c:v>
                </c:pt>
                <c:pt idx="27">
                  <c:v>388.99666666666423</c:v>
                </c:pt>
              </c:numCache>
            </c:numRef>
          </c:xVal>
          <c:yVal>
            <c:numRef>
              <c:f>Exzentrizität!$AL$6:$AL$33</c:f>
              <c:numCache>
                <c:formatCode>General</c:formatCode>
                <c:ptCount val="28"/>
                <c:pt idx="1">
                  <c:v>369400</c:v>
                </c:pt>
                <c:pt idx="3">
                  <c:v>369000</c:v>
                </c:pt>
                <c:pt idx="5">
                  <c:v>363000</c:v>
                </c:pt>
                <c:pt idx="7">
                  <c:v>359000</c:v>
                </c:pt>
                <c:pt idx="9">
                  <c:v>357200</c:v>
                </c:pt>
                <c:pt idx="11">
                  <c:v>358000</c:v>
                </c:pt>
                <c:pt idx="13">
                  <c:v>361400</c:v>
                </c:pt>
                <c:pt idx="15">
                  <c:v>366000</c:v>
                </c:pt>
                <c:pt idx="17">
                  <c:v>369600</c:v>
                </c:pt>
                <c:pt idx="19">
                  <c:v>366000</c:v>
                </c:pt>
                <c:pt idx="21">
                  <c:v>361000</c:v>
                </c:pt>
                <c:pt idx="23">
                  <c:v>357400</c:v>
                </c:pt>
                <c:pt idx="25">
                  <c:v>356600</c:v>
                </c:pt>
              </c:numCache>
            </c:numRef>
          </c:yVal>
          <c:smooth val="0"/>
        </c:ser>
        <c:ser>
          <c:idx val="3"/>
          <c:order val="3"/>
          <c:tx>
            <c:v>ergänzt</c:v>
          </c:tx>
          <c:spPr>
            <a:ln w="28575">
              <a:noFill/>
            </a:ln>
          </c:spPr>
          <c:marker>
            <c:symbol val="x"/>
            <c:size val="6"/>
            <c:spPr>
              <a:ln w="19050">
                <a:solidFill>
                  <a:srgbClr val="C00000"/>
                </a:solidFill>
              </a:ln>
            </c:spPr>
          </c:marker>
          <c:xVal>
            <c:numRef>
              <c:f>Exzentrizität!$C$6:$C$33</c:f>
              <c:numCache>
                <c:formatCode>0.0</c:formatCode>
                <c:ptCount val="28"/>
                <c:pt idx="0">
                  <c:v>19.37166666666424</c:v>
                </c:pt>
                <c:pt idx="1">
                  <c:v>31.163333333328481</c:v>
                </c:pt>
                <c:pt idx="2">
                  <c:v>45.038333333328481</c:v>
                </c:pt>
                <c:pt idx="3">
                  <c:v>59.038333333328481</c:v>
                </c:pt>
                <c:pt idx="4">
                  <c:v>70.913333333328481</c:v>
                </c:pt>
                <c:pt idx="5">
                  <c:v>86.83</c:v>
                </c:pt>
                <c:pt idx="6">
                  <c:v>98.788333333328481</c:v>
                </c:pt>
                <c:pt idx="7">
                  <c:v>114.41333333332848</c:v>
                </c:pt>
                <c:pt idx="8">
                  <c:v>127.12166666666424</c:v>
                </c:pt>
                <c:pt idx="9">
                  <c:v>141.58000000000001</c:v>
                </c:pt>
                <c:pt idx="10">
                  <c:v>155.5383333333285</c:v>
                </c:pt>
                <c:pt idx="11">
                  <c:v>168.74666666666425</c:v>
                </c:pt>
                <c:pt idx="12">
                  <c:v>183.87166666666425</c:v>
                </c:pt>
                <c:pt idx="13">
                  <c:v>196.1633333333285</c:v>
                </c:pt>
                <c:pt idx="14">
                  <c:v>211.95500000000001</c:v>
                </c:pt>
                <c:pt idx="15">
                  <c:v>223.83</c:v>
                </c:pt>
                <c:pt idx="16">
                  <c:v>239.1633333333285</c:v>
                </c:pt>
                <c:pt idx="17">
                  <c:v>251.62166666666425</c:v>
                </c:pt>
                <c:pt idx="18">
                  <c:v>264.12166666666423</c:v>
                </c:pt>
                <c:pt idx="19">
                  <c:v>279.45499999999998</c:v>
                </c:pt>
                <c:pt idx="20">
                  <c:v>291.24666666666423</c:v>
                </c:pt>
                <c:pt idx="21">
                  <c:v>307.20499999999998</c:v>
                </c:pt>
                <c:pt idx="22">
                  <c:v>319.41333333332847</c:v>
                </c:pt>
                <c:pt idx="23">
                  <c:v>334.70499999999998</c:v>
                </c:pt>
                <c:pt idx="24">
                  <c:v>347.91333333332847</c:v>
                </c:pt>
                <c:pt idx="25">
                  <c:v>361.74666666666423</c:v>
                </c:pt>
                <c:pt idx="26">
                  <c:v>376.45499999999998</c:v>
                </c:pt>
                <c:pt idx="27">
                  <c:v>388.99666666666423</c:v>
                </c:pt>
              </c:numCache>
            </c:numRef>
          </c:xVal>
          <c:yVal>
            <c:numRef>
              <c:f>Exzentrizität!$AK$6:$AK$33</c:f>
              <c:numCache>
                <c:formatCode>General</c:formatCode>
                <c:ptCount val="28"/>
                <c:pt idx="0" formatCode="0">
                  <c:v>404800</c:v>
                </c:pt>
                <c:pt idx="2" formatCode="0">
                  <c:v>404300</c:v>
                </c:pt>
                <c:pt idx="4" formatCode="0">
                  <c:v>404700</c:v>
                </c:pt>
                <c:pt idx="6" formatCode="0">
                  <c:v>405450</c:v>
                </c:pt>
                <c:pt idx="8" formatCode="0">
                  <c:v>406250</c:v>
                </c:pt>
                <c:pt idx="10" formatCode="0">
                  <c:v>406410</c:v>
                </c:pt>
                <c:pt idx="12" formatCode="0">
                  <c:v>405900</c:v>
                </c:pt>
                <c:pt idx="14" formatCode="0">
                  <c:v>404900</c:v>
                </c:pt>
                <c:pt idx="16" formatCode="0">
                  <c:v>404200</c:v>
                </c:pt>
                <c:pt idx="18" formatCode="0">
                  <c:v>404400</c:v>
                </c:pt>
                <c:pt idx="20" formatCode="0">
                  <c:v>405100</c:v>
                </c:pt>
                <c:pt idx="22" formatCode="0">
                  <c:v>406100</c:v>
                </c:pt>
                <c:pt idx="24" formatCode="0">
                  <c:v>406600</c:v>
                </c:pt>
                <c:pt idx="26" formatCode="0">
                  <c:v>406400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361920"/>
        <c:axId val="143364480"/>
      </c:scatterChart>
      <c:valAx>
        <c:axId val="143361920"/>
        <c:scaling>
          <c:orientation val="minMax"/>
          <c:max val="38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Tagesnummer</a:t>
                </a:r>
              </a:p>
            </c:rich>
          </c:tx>
          <c:layout>
            <c:manualLayout>
              <c:xMode val="edge"/>
              <c:yMode val="edge"/>
              <c:x val="0.7828490598656308"/>
              <c:y val="0.94576096154920075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0" sourceLinked="0"/>
        <c:majorTickMark val="out"/>
        <c:minorTickMark val="out"/>
        <c:tickLblPos val="nextTo"/>
        <c:txPr>
          <a:bodyPr/>
          <a:lstStyle/>
          <a:p>
            <a:pPr>
              <a:defRPr sz="1050"/>
            </a:pPr>
            <a:endParaRPr lang="de-DE"/>
          </a:p>
        </c:txPr>
        <c:crossAx val="143364480"/>
        <c:crosses val="autoZero"/>
        <c:crossBetween val="midCat"/>
        <c:majorUnit val="50"/>
        <c:minorUnit val="10"/>
      </c:valAx>
      <c:valAx>
        <c:axId val="143364480"/>
        <c:scaling>
          <c:orientation val="minMax"/>
          <c:max val="410000"/>
          <c:min val="355000"/>
        </c:scaling>
        <c:delete val="0"/>
        <c:axPos val="l"/>
        <c:majorGridlines/>
        <c:minorGridlines/>
        <c:title>
          <c:tx>
            <c:rich>
              <a:bodyPr rot="0" vert="horz"/>
              <a:lstStyle/>
              <a:p>
                <a:pPr>
                  <a:defRPr sz="1100"/>
                </a:pPr>
                <a:r>
                  <a:rPr lang="en-US" sz="1100"/>
                  <a:t>km</a:t>
                </a:r>
              </a:p>
            </c:rich>
          </c:tx>
          <c:layout>
            <c:manualLayout>
              <c:xMode val="edge"/>
              <c:yMode val="edge"/>
              <c:x val="0.11020918290094674"/>
              <c:y val="6.9286871056011612E-2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General" sourceLinked="1"/>
        <c:majorTickMark val="out"/>
        <c:minorTickMark val="out"/>
        <c:tickLblPos val="nextTo"/>
        <c:txPr>
          <a:bodyPr/>
          <a:lstStyle/>
          <a:p>
            <a:pPr>
              <a:defRPr sz="1050"/>
            </a:pPr>
            <a:endParaRPr lang="de-DE"/>
          </a:p>
        </c:txPr>
        <c:crossAx val="143361920"/>
        <c:crosses val="autoZero"/>
        <c:crossBetween val="midCat"/>
        <c:majorUnit val="5000"/>
        <c:minorUnit val="1000"/>
      </c:valAx>
    </c:plotArea>
    <c:legend>
      <c:legendPos val="r"/>
      <c:legendEntry>
        <c:idx val="0"/>
        <c:txPr>
          <a:bodyPr/>
          <a:lstStyle/>
          <a:p>
            <a:pPr>
              <a:defRPr sz="1200"/>
            </a:pPr>
            <a:endParaRPr lang="de-DE"/>
          </a:p>
        </c:txPr>
      </c:legendEntry>
      <c:legendEntry>
        <c:idx val="4"/>
        <c:delete val="1"/>
      </c:legendEntry>
      <c:layout>
        <c:manualLayout>
          <c:xMode val="edge"/>
          <c:yMode val="edge"/>
          <c:x val="0.16800809218746901"/>
          <c:y val="0.19378830349569426"/>
          <c:w val="0.74869949820504178"/>
          <c:h val="0.22109437756643954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u="sng"/>
              <a:t>Diagramm 2a</a:t>
            </a:r>
            <a:r>
              <a:rPr lang="en-US" sz="1200"/>
              <a:t>  </a:t>
            </a:r>
            <a:r>
              <a:rPr lang="en-US" sz="1200" baseline="0"/>
              <a:t>Erde-Mond-System um die Sonne </a:t>
            </a:r>
            <a:r>
              <a:rPr lang="en-US" sz="1200" b="1" i="0" baseline="0">
                <a:effectLst/>
              </a:rPr>
              <a:t>2008</a:t>
            </a:r>
            <a:r>
              <a:rPr lang="en-US" sz="1800" b="1" i="0" baseline="0">
                <a:effectLst/>
              </a:rPr>
              <a:t> </a:t>
            </a:r>
            <a:endParaRPr lang="de-DE" sz="12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aseline="0"/>
              <a:t> Ausrichtungen der Knotenlinie </a:t>
            </a:r>
            <a:endParaRPr lang="en-US" sz="1200"/>
          </a:p>
        </c:rich>
      </c:tx>
      <c:layout>
        <c:manualLayout>
          <c:xMode val="edge"/>
          <c:yMode val="edge"/>
          <c:x val="0.10622018899905331"/>
          <c:y val="7.532956685499058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391153137460525E-2"/>
          <c:y val="0.19350880574956378"/>
          <c:w val="0.9139204777732356"/>
          <c:h val="0.78659726856176881"/>
        </c:manualLayout>
      </c:layout>
      <c:scatterChart>
        <c:scatterStyle val="smoothMarker"/>
        <c:varyColors val="0"/>
        <c:ser>
          <c:idx val="0"/>
          <c:order val="0"/>
          <c:tx>
            <c:v> Positionen der Erde in den Zeitpunkten der Knotendurchgänge des Mondes</c:v>
          </c:tx>
          <c:spPr>
            <a:ln w="19050"/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Knotenlinie!$J$7:$J$60</c:f>
              <c:numCache>
                <c:formatCode>0.000</c:formatCode>
                <c:ptCount val="54"/>
                <c:pt idx="0">
                  <c:v>-0.34398747937572555</c:v>
                </c:pt>
                <c:pt idx="1">
                  <c:v>-0.34398747937572555</c:v>
                </c:pt>
                <c:pt idx="2">
                  <c:v>-0.54989777222483982</c:v>
                </c:pt>
                <c:pt idx="3">
                  <c:v>-0.54989777222483982</c:v>
                </c:pt>
                <c:pt idx="4">
                  <c:v>-0.73810217551163426</c:v>
                </c:pt>
                <c:pt idx="5">
                  <c:v>-0.73810217551163426</c:v>
                </c:pt>
                <c:pt idx="6">
                  <c:v>-0.87224004600084393</c:v>
                </c:pt>
                <c:pt idx="7">
                  <c:v>-0.87224004600084393</c:v>
                </c:pt>
                <c:pt idx="8">
                  <c:v>-0.96940252091422885</c:v>
                </c:pt>
                <c:pt idx="9">
                  <c:v>-0.96940252091422885</c:v>
                </c:pt>
                <c:pt idx="10">
                  <c:v>-0.99976581926834129</c:v>
                </c:pt>
                <c:pt idx="11">
                  <c:v>-0.99976581926834129</c:v>
                </c:pt>
                <c:pt idx="12">
                  <c:v>-0.97584055612797838</c:v>
                </c:pt>
                <c:pt idx="13">
                  <c:v>-0.97584055612797838</c:v>
                </c:pt>
                <c:pt idx="14">
                  <c:v>-0.90333529286330072</c:v>
                </c:pt>
                <c:pt idx="15">
                  <c:v>-0.90333529286330072</c:v>
                </c:pt>
                <c:pt idx="16">
                  <c:v>-0.77659647996775949</c:v>
                </c:pt>
                <c:pt idx="17">
                  <c:v>-0.77659647996775949</c:v>
                </c:pt>
                <c:pt idx="18">
                  <c:v>-0.62046364229175199</c:v>
                </c:pt>
                <c:pt idx="19">
                  <c:v>-0.62046364229175199</c:v>
                </c:pt>
                <c:pt idx="20">
                  <c:v>-0.42071916963275524</c:v>
                </c:pt>
                <c:pt idx="21">
                  <c:v>-0.42071916963275524</c:v>
                </c:pt>
                <c:pt idx="22">
                  <c:v>-0.21507623701711426</c:v>
                </c:pt>
                <c:pt idx="23">
                  <c:v>-0.21507623701711426</c:v>
                </c:pt>
                <c:pt idx="24">
                  <c:v>1.6579868187697199E-2</c:v>
                </c:pt>
                <c:pt idx="25">
                  <c:v>1.6579868187697199E-2</c:v>
                </c:pt>
                <c:pt idx="26">
                  <c:v>0.23089890826091278</c:v>
                </c:pt>
                <c:pt idx="27">
                  <c:v>0.23089890826091278</c:v>
                </c:pt>
                <c:pt idx="28">
                  <c:v>0.46406921712668808</c:v>
                </c:pt>
                <c:pt idx="29">
                  <c:v>0.46406921712668808</c:v>
                </c:pt>
                <c:pt idx="30">
                  <c:v>0.64385658258525424</c:v>
                </c:pt>
                <c:pt idx="31">
                  <c:v>0.64385658258525424</c:v>
                </c:pt>
                <c:pt idx="32">
                  <c:v>0.80385686061721751</c:v>
                </c:pt>
                <c:pt idx="33">
                  <c:v>0.80385686061721751</c:v>
                </c:pt>
                <c:pt idx="34">
                  <c:v>0.91375829921434082</c:v>
                </c:pt>
                <c:pt idx="35">
                  <c:v>0.91375829921434082</c:v>
                </c:pt>
                <c:pt idx="36">
                  <c:v>0.98357147081338592</c:v>
                </c:pt>
                <c:pt idx="37">
                  <c:v>0.98357147081338592</c:v>
                </c:pt>
                <c:pt idx="38">
                  <c:v>0.99920138421495375</c:v>
                </c:pt>
                <c:pt idx="39">
                  <c:v>0.99920138421495375</c:v>
                </c:pt>
                <c:pt idx="40">
                  <c:v>0.95599806073306048</c:v>
                </c:pt>
                <c:pt idx="41">
                  <c:v>0.95599806073306048</c:v>
                </c:pt>
                <c:pt idx="42">
                  <c:v>0.87504245026115257</c:v>
                </c:pt>
                <c:pt idx="43">
                  <c:v>0.87504245026115257</c:v>
                </c:pt>
                <c:pt idx="44">
                  <c:v>0.72006685032801365</c:v>
                </c:pt>
                <c:pt idx="45">
                  <c:v>0.72006685032801365</c:v>
                </c:pt>
                <c:pt idx="46">
                  <c:v>0.55904820060184846</c:v>
                </c:pt>
                <c:pt idx="47">
                  <c:v>0.55904820060184846</c:v>
                </c:pt>
                <c:pt idx="48">
                  <c:v>0.32243091178579097</c:v>
                </c:pt>
                <c:pt idx="49">
                  <c:v>0.32243091178579097</c:v>
                </c:pt>
                <c:pt idx="50">
                  <c:v>0.11528389599264059</c:v>
                </c:pt>
                <c:pt idx="51">
                  <c:v>0.11528389599264059</c:v>
                </c:pt>
                <c:pt idx="52">
                  <c:v>-0.15057068452350811</c:v>
                </c:pt>
                <c:pt idx="53">
                  <c:v>-0.15057068452350811</c:v>
                </c:pt>
              </c:numCache>
            </c:numRef>
          </c:xVal>
          <c:yVal>
            <c:numRef>
              <c:f>Knotenlinie!$K$7:$K$60</c:f>
              <c:numCache>
                <c:formatCode>0.000</c:formatCode>
                <c:ptCount val="54"/>
                <c:pt idx="0">
                  <c:v>0.93897423502071387</c:v>
                </c:pt>
                <c:pt idx="1">
                  <c:v>0.93897423502071387</c:v>
                </c:pt>
                <c:pt idx="2">
                  <c:v>0.83523196784016718</c:v>
                </c:pt>
                <c:pt idx="3">
                  <c:v>0.83523196784016718</c:v>
                </c:pt>
                <c:pt idx="4">
                  <c:v>0.67468894944633007</c:v>
                </c:pt>
                <c:pt idx="5">
                  <c:v>0.67468894944633007</c:v>
                </c:pt>
                <c:pt idx="6">
                  <c:v>0.48907801233795573</c:v>
                </c:pt>
                <c:pt idx="7">
                  <c:v>0.48907801233795573</c:v>
                </c:pt>
                <c:pt idx="8">
                  <c:v>0.24547658227443639</c:v>
                </c:pt>
                <c:pt idx="9">
                  <c:v>0.24547658227443639</c:v>
                </c:pt>
                <c:pt idx="10">
                  <c:v>2.1640393312097845E-2</c:v>
                </c:pt>
                <c:pt idx="11">
                  <c:v>2.1640393312097845E-2</c:v>
                </c:pt>
                <c:pt idx="12">
                  <c:v>-0.21848388731400298</c:v>
                </c:pt>
                <c:pt idx="13">
                  <c:v>-0.21848388731400298</c:v>
                </c:pt>
                <c:pt idx="14">
                  <c:v>-0.42893513340314615</c:v>
                </c:pt>
                <c:pt idx="15">
                  <c:v>-0.42893513340314615</c:v>
                </c:pt>
                <c:pt idx="16">
                  <c:v>-0.62999833912613235</c:v>
                </c:pt>
                <c:pt idx="17">
                  <c:v>-0.62999833912613235</c:v>
                </c:pt>
                <c:pt idx="18">
                  <c:v>-0.78423521254407647</c:v>
                </c:pt>
                <c:pt idx="19">
                  <c:v>-0.78423521254407647</c:v>
                </c:pt>
                <c:pt idx="20">
                  <c:v>-0.90719092825244063</c:v>
                </c:pt>
                <c:pt idx="21">
                  <c:v>-0.90719092825244063</c:v>
                </c:pt>
                <c:pt idx="22">
                  <c:v>-0.97659726206382436</c:v>
                </c:pt>
                <c:pt idx="23">
                  <c:v>-0.97659726206382436</c:v>
                </c:pt>
                <c:pt idx="24">
                  <c:v>-0.99986254453843737</c:v>
                </c:pt>
                <c:pt idx="25">
                  <c:v>-0.99986254453843737</c:v>
                </c:pt>
                <c:pt idx="26">
                  <c:v>-0.97297774597568187</c:v>
                </c:pt>
                <c:pt idx="27">
                  <c:v>-0.97297774597568187</c:v>
                </c:pt>
                <c:pt idx="28">
                  <c:v>-0.88579893978002866</c:v>
                </c:pt>
                <c:pt idx="29">
                  <c:v>-0.88579893978002866</c:v>
                </c:pt>
                <c:pt idx="30">
                  <c:v>-0.76514619587477373</c:v>
                </c:pt>
                <c:pt idx="31">
                  <c:v>-0.76514619587477373</c:v>
                </c:pt>
                <c:pt idx="32">
                  <c:v>-0.59482278675134104</c:v>
                </c:pt>
                <c:pt idx="33">
                  <c:v>-0.59482278675134104</c:v>
                </c:pt>
                <c:pt idx="34">
                  <c:v>-0.40625825606000338</c:v>
                </c:pt>
                <c:pt idx="35">
                  <c:v>-0.40625825606000338</c:v>
                </c:pt>
                <c:pt idx="36">
                  <c:v>-0.18051914525055959</c:v>
                </c:pt>
                <c:pt idx="37">
                  <c:v>-0.18051914525055959</c:v>
                </c:pt>
                <c:pt idx="38">
                  <c:v>3.9957399601580616E-2</c:v>
                </c:pt>
                <c:pt idx="39">
                  <c:v>3.9957399601580616E-2</c:v>
                </c:pt>
                <c:pt idx="40">
                  <c:v>0.29337298422763414</c:v>
                </c:pt>
                <c:pt idx="41">
                  <c:v>0.29337298422763414</c:v>
                </c:pt>
                <c:pt idx="42">
                  <c:v>0.48404618606178312</c:v>
                </c:pt>
                <c:pt idx="43">
                  <c:v>0.48404618606178312</c:v>
                </c:pt>
                <c:pt idx="44">
                  <c:v>0.69390469883024575</c:v>
                </c:pt>
                <c:pt idx="45">
                  <c:v>0.69390469883024575</c:v>
                </c:pt>
                <c:pt idx="46">
                  <c:v>0.82913515750077527</c:v>
                </c:pt>
                <c:pt idx="47">
                  <c:v>0.82913515750077527</c:v>
                </c:pt>
                <c:pt idx="48">
                  <c:v>0.94659299972320921</c:v>
                </c:pt>
                <c:pt idx="49">
                  <c:v>0.94659299972320921</c:v>
                </c:pt>
                <c:pt idx="50">
                  <c:v>0.99333258444730288</c:v>
                </c:pt>
                <c:pt idx="51">
                  <c:v>0.99333258444730288</c:v>
                </c:pt>
                <c:pt idx="52">
                  <c:v>0.98859924588385262</c:v>
                </c:pt>
                <c:pt idx="53">
                  <c:v>0.98859924588385262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56704"/>
        <c:axId val="144478976"/>
      </c:scatterChart>
      <c:scatterChart>
        <c:scatterStyle val="lineMarker"/>
        <c:varyColors val="0"/>
        <c:ser>
          <c:idx val="1"/>
          <c:order val="1"/>
          <c:tx>
            <c:v> Richtungen der Knotenlinie (der Mond steht jeweils auf dieser Linie)</c:v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  <a:headEnd type="none"/>
            </a:ln>
          </c:spPr>
          <c:marker>
            <c:symbol val="none"/>
          </c:marker>
          <c:xVal>
            <c:numRef>
              <c:f>Knotenlinie!$L$7:$L$60</c:f>
              <c:numCache>
                <c:formatCode>0.000</c:formatCode>
                <c:ptCount val="54"/>
                <c:pt idx="0">
                  <c:v>-0.17430111601449333</c:v>
                </c:pt>
                <c:pt idx="1">
                  <c:v>-0.34398747937572555</c:v>
                </c:pt>
                <c:pt idx="4">
                  <c:v>-0.56905378408919538</c:v>
                </c:pt>
                <c:pt idx="5">
                  <c:v>-0.73810217551163426</c:v>
                </c:pt>
                <c:pt idx="8">
                  <c:v>-0.80019886647370808</c:v>
                </c:pt>
                <c:pt idx="9">
                  <c:v>-0.96940252091422885</c:v>
                </c:pt>
                <c:pt idx="12">
                  <c:v>-0.80840682504311301</c:v>
                </c:pt>
                <c:pt idx="13">
                  <c:v>-0.97584055612797838</c:v>
                </c:pt>
                <c:pt idx="16">
                  <c:v>-0.61383205552829512</c:v>
                </c:pt>
                <c:pt idx="17">
                  <c:v>-0.77659647996775949</c:v>
                </c:pt>
                <c:pt idx="20">
                  <c:v>-0.26414974410959191</c:v>
                </c:pt>
                <c:pt idx="21">
                  <c:v>-0.42071916963275524</c:v>
                </c:pt>
                <c:pt idx="24">
                  <c:v>0.16848430075051399</c:v>
                </c:pt>
                <c:pt idx="25">
                  <c:v>1.6579868187697199E-2</c:v>
                </c:pt>
                <c:pt idx="28">
                  <c:v>0.61408068449298059</c:v>
                </c:pt>
                <c:pt idx="29">
                  <c:v>0.46406921712668808</c:v>
                </c:pt>
                <c:pt idx="32">
                  <c:v>0.95381117176829622</c:v>
                </c:pt>
                <c:pt idx="33">
                  <c:v>0.80385686061721751</c:v>
                </c:pt>
                <c:pt idx="36">
                  <c:v>1.1329933668834602</c:v>
                </c:pt>
                <c:pt idx="37">
                  <c:v>0.98357147081338592</c:v>
                </c:pt>
                <c:pt idx="40">
                  <c:v>1.1017397560519053</c:v>
                </c:pt>
                <c:pt idx="41">
                  <c:v>0.95599806073306048</c:v>
                </c:pt>
                <c:pt idx="44">
                  <c:v>0.85868851653472311</c:v>
                </c:pt>
                <c:pt idx="45">
                  <c:v>0.72006685032801365</c:v>
                </c:pt>
                <c:pt idx="48">
                  <c:v>0.45344489947594002</c:v>
                </c:pt>
                <c:pt idx="49">
                  <c:v>0.32243091178579097</c:v>
                </c:pt>
                <c:pt idx="52">
                  <c:v>-2.35485810426172E-2</c:v>
                </c:pt>
                <c:pt idx="53">
                  <c:v>-0.15057068452350811</c:v>
                </c:pt>
              </c:numCache>
            </c:numRef>
          </c:xVal>
          <c:yVal>
            <c:numRef>
              <c:f>Knotenlinie!$M$7:$M$60</c:f>
              <c:numCache>
                <c:formatCode>0.000</c:formatCode>
                <c:ptCount val="54"/>
                <c:pt idx="0">
                  <c:v>0.83311329751664731</c:v>
                </c:pt>
                <c:pt idx="1">
                  <c:v>0.93897423502071387</c:v>
                </c:pt>
                <c:pt idx="4">
                  <c:v>0.56781219164798591</c:v>
                </c:pt>
                <c:pt idx="5">
                  <c:v>0.67468894944633007</c:v>
                </c:pt>
                <c:pt idx="8">
                  <c:v>0.13884580189666337</c:v>
                </c:pt>
                <c:pt idx="9">
                  <c:v>0.24547658227443639</c:v>
                </c:pt>
                <c:pt idx="12">
                  <c:v>-0.32787285245674935</c:v>
                </c:pt>
                <c:pt idx="13">
                  <c:v>-0.21848388731400298</c:v>
                </c:pt>
                <c:pt idx="16">
                  <c:v>-0.74622115158947744</c:v>
                </c:pt>
                <c:pt idx="17">
                  <c:v>-0.62999833912613235</c:v>
                </c:pt>
                <c:pt idx="20">
                  <c:v>-1.0316337464114111</c:v>
                </c:pt>
                <c:pt idx="21">
                  <c:v>-0.90719092825244063</c:v>
                </c:pt>
                <c:pt idx="24">
                  <c:v>-1.1299588295267822</c:v>
                </c:pt>
                <c:pt idx="25">
                  <c:v>-0.99986254453843737</c:v>
                </c:pt>
                <c:pt idx="28">
                  <c:v>-1.0180735014259163</c:v>
                </c:pt>
                <c:pt idx="29">
                  <c:v>-0.88579893978002866</c:v>
                </c:pt>
                <c:pt idx="32">
                  <c:v>-0.72716214056269035</c:v>
                </c:pt>
                <c:pt idx="33">
                  <c:v>-0.59482278675134104</c:v>
                </c:pt>
                <c:pt idx="36">
                  <c:v>-0.3134593459982038</c:v>
                </c:pt>
                <c:pt idx="37">
                  <c:v>-0.18051914525055959</c:v>
                </c:pt>
                <c:pt idx="40">
                  <c:v>0.15640817763269535</c:v>
                </c:pt>
                <c:pt idx="41">
                  <c:v>0.29337298422763414</c:v>
                </c:pt>
                <c:pt idx="44">
                  <c:v>0.54973801176948389</c:v>
                </c:pt>
                <c:pt idx="45">
                  <c:v>0.69390469883024575</c:v>
                </c:pt>
                <c:pt idx="48">
                  <c:v>0.79547935034127715</c:v>
                </c:pt>
                <c:pt idx="49">
                  <c:v>0.94659299972320921</c:v>
                </c:pt>
                <c:pt idx="52">
                  <c:v>0.83411499028707714</c:v>
                </c:pt>
                <c:pt idx="53">
                  <c:v>0.98859924588385262</c:v>
                </c:pt>
              </c:numCache>
            </c:numRef>
          </c:yVal>
          <c:smooth val="0"/>
        </c:ser>
        <c:ser>
          <c:idx val="2"/>
          <c:order val="2"/>
          <c:tx>
            <c:v>Strahlen Sonne -Erde</c:v>
          </c:tx>
          <c:spPr>
            <a:ln w="19050">
              <a:solidFill>
                <a:srgbClr val="C00000"/>
              </a:solidFill>
              <a:prstDash val="dash"/>
            </a:ln>
          </c:spPr>
          <c:marker>
            <c:symbol val="circle"/>
            <c:size val="8"/>
            <c:spPr>
              <a:noFill/>
              <a:ln w="25400">
                <a:solidFill>
                  <a:srgbClr val="C00000"/>
                </a:solidFill>
              </a:ln>
            </c:spPr>
          </c:marker>
          <c:xVal>
            <c:numRef>
              <c:f>Knotenlinie!$I$64:$I$66</c:f>
              <c:numCache>
                <c:formatCode>0</c:formatCode>
                <c:ptCount val="3"/>
                <c:pt idx="0" formatCode="0.000">
                  <c:v>-0.52413455238184969</c:v>
                </c:pt>
                <c:pt idx="1">
                  <c:v>0</c:v>
                </c:pt>
                <c:pt idx="2" formatCode="0.000">
                  <c:v>0.79937016958758789</c:v>
                </c:pt>
              </c:numCache>
            </c:numRef>
          </c:xVal>
          <c:yVal>
            <c:numRef>
              <c:f>Knotenlinie!$J$64:$J$66</c:f>
              <c:numCache>
                <c:formatCode>0</c:formatCode>
                <c:ptCount val="3"/>
                <c:pt idx="0" formatCode="0.000">
                  <c:v>-0.85163546837803683</c:v>
                </c:pt>
                <c:pt idx="1">
                  <c:v>0</c:v>
                </c:pt>
                <c:pt idx="2" formatCode="0.000">
                  <c:v>0.60083885691049554</c:v>
                </c:pt>
              </c:numCache>
            </c:numRef>
          </c:yVal>
          <c:smooth val="0"/>
        </c:ser>
        <c:ser>
          <c:idx val="3"/>
          <c:order val="3"/>
          <c:tx>
            <c:v>Strahlen Sonne-Erde</c:v>
          </c:tx>
          <c:spPr>
            <a:ln w="19050">
              <a:solidFill>
                <a:schemeClr val="tx2"/>
              </a:solidFill>
              <a:prstDash val="dash"/>
            </a:ln>
          </c:spPr>
          <c:marker>
            <c:symbol val="circle"/>
            <c:size val="8"/>
            <c:spPr>
              <a:noFill/>
              <a:ln w="25400">
                <a:solidFill>
                  <a:schemeClr val="tx2"/>
                </a:solidFill>
              </a:ln>
            </c:spPr>
          </c:marker>
          <c:xVal>
            <c:numRef>
              <c:f>Knotenlinie!$L$64:$L$66</c:f>
              <c:numCache>
                <c:formatCode>0</c:formatCode>
                <c:ptCount val="3"/>
                <c:pt idx="0" formatCode="0.000">
                  <c:v>-0.81573397049902774</c:v>
                </c:pt>
                <c:pt idx="1">
                  <c:v>0</c:v>
                </c:pt>
                <c:pt idx="2" formatCode="0.000">
                  <c:v>0.72872963099728705</c:v>
                </c:pt>
              </c:numCache>
            </c:numRef>
          </c:xVal>
          <c:yVal>
            <c:numRef>
              <c:f>Knotenlinie!$M$64:$M$66</c:f>
              <c:numCache>
                <c:formatCode>0</c:formatCode>
                <c:ptCount val="3"/>
                <c:pt idx="0" formatCode="0.000">
                  <c:v>0.57842725504067616</c:v>
                </c:pt>
                <c:pt idx="1">
                  <c:v>0</c:v>
                </c:pt>
                <c:pt idx="2" formatCode="0.000">
                  <c:v>-0.6848015222723719</c:v>
                </c:pt>
              </c:numCache>
            </c:numRef>
          </c:yVal>
          <c:smooth val="0"/>
        </c:ser>
        <c:ser>
          <c:idx val="4"/>
          <c:order val="4"/>
          <c:tx>
            <c:v>Sonne</c:v>
          </c:tx>
          <c:spPr>
            <a:ln w="28575">
              <a:solidFill>
                <a:srgbClr val="FFC000"/>
              </a:solidFill>
            </a:ln>
          </c:spPr>
          <c:marker>
            <c:symbol val="circle"/>
            <c:size val="8"/>
            <c:spPr>
              <a:solidFill>
                <a:srgbClr val="FFC000"/>
              </a:solidFill>
            </c:spPr>
          </c:marker>
          <c:xVal>
            <c:numRef>
              <c:f>Knotenlinie!$L$65</c:f>
              <c:numCache>
                <c:formatCode>0</c:formatCode>
                <c:ptCount val="1"/>
                <c:pt idx="0">
                  <c:v>0</c:v>
                </c:pt>
              </c:numCache>
            </c:numRef>
          </c:xVal>
          <c:yVal>
            <c:numRef>
              <c:f>Knotenlinie!$M$65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v>Richtung Frühlingspunkt</c:v>
          </c:tx>
          <c:spPr>
            <a:ln w="25400">
              <a:solidFill>
                <a:srgbClr val="C00000"/>
              </a:solidFill>
              <a:prstDash val="sysDash"/>
              <a:tailEnd type="arrow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3145552251888809"/>
                  <c:y val="-5.1962410171365395E-3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solidFill>
                          <a:srgbClr val="C00000"/>
                        </a:solidFill>
                      </a:defRPr>
                    </a:pPr>
                    <a:r>
                      <a:rPr lang="en-US" sz="1200">
                        <a:solidFill>
                          <a:srgbClr val="C00000"/>
                        </a:solidFill>
                      </a:rPr>
                      <a:t>Frühlingspunkt</a:t>
                    </a:r>
                  </a:p>
                  <a:p>
                    <a:pPr>
                      <a:defRPr sz="1200">
                        <a:solidFill>
                          <a:srgbClr val="C00000"/>
                        </a:solidFill>
                      </a:defRPr>
                    </a:pPr>
                    <a:r>
                      <a:rPr lang="en-US" sz="1200">
                        <a:solidFill>
                          <a:srgbClr val="C00000"/>
                        </a:solidFill>
                      </a:rPr>
                      <a:t>(</a:t>
                    </a:r>
                    <a:r>
                      <a:rPr lang="en-US" sz="1200" i="1">
                        <a:solidFill>
                          <a:srgbClr val="C00000"/>
                        </a:solidFill>
                      </a:rPr>
                      <a:t>l</a:t>
                    </a:r>
                    <a:r>
                      <a:rPr lang="en-US" sz="900" i="1">
                        <a:solidFill>
                          <a:srgbClr val="C00000"/>
                        </a:solidFill>
                      </a:rPr>
                      <a:t>E</a:t>
                    </a:r>
                    <a:r>
                      <a:rPr lang="en-US" sz="1200">
                        <a:solidFill>
                          <a:srgbClr val="C00000"/>
                        </a:solidFill>
                      </a:rPr>
                      <a:t> = 0)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Knotenlinie!$S$57:$S$58</c:f>
              <c:numCache>
                <c:formatCode>0.0</c:formatCode>
                <c:ptCount val="2"/>
                <c:pt idx="0">
                  <c:v>0.8</c:v>
                </c:pt>
                <c:pt idx="1">
                  <c:v>1.1000000000000001</c:v>
                </c:pt>
              </c:numCache>
            </c:numRef>
          </c:xVal>
          <c:yVal>
            <c:numRef>
              <c:f>Knotenlinie!$T$57:$T$58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v>Richtung Frühlingspunkt</c:v>
          </c:tx>
          <c:marker>
            <c:symbol val="none"/>
          </c:marker>
          <c:xVal>
            <c:numRef>
              <c:f>Knotenlinie!$F$96:$F$97</c:f>
              <c:numCache>
                <c:formatCode>0.0</c:formatCode>
                <c:ptCount val="2"/>
              </c:numCache>
            </c:numRef>
          </c:xVal>
          <c:yVal>
            <c:numRef>
              <c:f>Knotenlinie!$G$96:$G$97</c:f>
              <c:numCache>
                <c:formatCode>0.0</c:formatCode>
                <c:ptCount val="2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56704"/>
        <c:axId val="144478976"/>
      </c:scatterChart>
      <c:valAx>
        <c:axId val="144456704"/>
        <c:scaling>
          <c:orientation val="minMax"/>
          <c:max val="1.2"/>
          <c:min val="-1.2"/>
        </c:scaling>
        <c:delete val="1"/>
        <c:axPos val="b"/>
        <c:numFmt formatCode="0" sourceLinked="0"/>
        <c:majorTickMark val="out"/>
        <c:minorTickMark val="none"/>
        <c:tickLblPos val="nextTo"/>
        <c:crossAx val="144478976"/>
        <c:crosses val="autoZero"/>
        <c:crossBetween val="midCat"/>
        <c:majorUnit val="18"/>
      </c:valAx>
      <c:valAx>
        <c:axId val="144478976"/>
        <c:scaling>
          <c:orientation val="minMax"/>
          <c:max val="1.2"/>
          <c:min val="-1.2"/>
        </c:scaling>
        <c:delete val="1"/>
        <c:axPos val="l"/>
        <c:numFmt formatCode="0" sourceLinked="0"/>
        <c:majorTickMark val="out"/>
        <c:minorTickMark val="none"/>
        <c:tickLblPos val="nextTo"/>
        <c:crossAx val="144456704"/>
        <c:crosses val="autoZero"/>
        <c:crossBetween val="midCat"/>
        <c:majorUnit val="6"/>
      </c:valAx>
      <c:spPr>
        <a:ln w="3175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8.6308376538321699E-2"/>
          <c:y val="0.10973757633529639"/>
          <c:w val="0.83639916926892677"/>
          <c:h val="0.11141405831733719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100"/>
              <a:t>Diagramm 2b</a:t>
            </a:r>
            <a:r>
              <a:rPr lang="de-DE" sz="1100" u="none"/>
              <a:t>   Mondbahn: Ekliptikale Länge des aufsteigenden Knoten 2008 </a:t>
            </a:r>
          </a:p>
        </c:rich>
      </c:tx>
      <c:layout>
        <c:manualLayout>
          <c:xMode val="edge"/>
          <c:yMode val="edge"/>
          <c:x val="0.19109220973046817"/>
          <c:y val="2.34492803784142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55096771401347"/>
          <c:y val="0.17263977677580189"/>
          <c:w val="0.79286272211334674"/>
          <c:h val="0.64254490714370471"/>
        </c:manualLayout>
      </c:layout>
      <c:scatterChart>
        <c:scatterStyle val="smoothMarker"/>
        <c:varyColors val="0"/>
        <c:ser>
          <c:idx val="0"/>
          <c:order val="0"/>
          <c:tx>
            <c:v>Ekliptikale Länge</c:v>
          </c:tx>
          <c:spPr>
            <a:ln w="3175">
              <a:solidFill>
                <a:schemeClr val="tx1"/>
              </a:solidFill>
              <a:prstDash val="dash"/>
            </a:ln>
          </c:spPr>
          <c:marker>
            <c:symbol val="square"/>
            <c:size val="4"/>
            <c:spPr>
              <a:solidFill>
                <a:schemeClr val="tx2"/>
              </a:solidFill>
            </c:spPr>
          </c:marker>
          <c:trendline>
            <c:spPr>
              <a:ln w="3175">
                <a:solidFill>
                  <a:srgbClr val="000000"/>
                </a:solidFill>
                <a:prstDash val="dash"/>
              </a:ln>
            </c:spPr>
            <c:trendlineType val="poly"/>
            <c:order val="6"/>
            <c:dispRSqr val="0"/>
            <c:dispEq val="0"/>
          </c:trendline>
          <c:trendline>
            <c:spPr>
              <a:ln w="19050"/>
            </c:spPr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trendline>
            <c:spPr>
              <a:ln w="12700">
                <a:solidFill>
                  <a:srgbClr val="C00000"/>
                </a:solidFill>
              </a:ln>
            </c:spPr>
            <c:trendlineType val="linear"/>
            <c:dispRSqr val="0"/>
            <c:dispEq val="0"/>
          </c:trendline>
          <c:trendline>
            <c:spPr>
              <a:ln w="6350">
                <a:prstDash val="sysDash"/>
              </a:ln>
            </c:spPr>
            <c:trendlineType val="poly"/>
            <c:order val="6"/>
            <c:dispRSqr val="0"/>
            <c:dispEq val="0"/>
          </c:trendline>
          <c:xVal>
            <c:numRef>
              <c:f>Knotenlinie!$B$7:$B$60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24</c:v>
                </c:pt>
                <c:pt idx="3">
                  <c:v>25</c:v>
                </c:pt>
                <c:pt idx="4">
                  <c:v>38</c:v>
                </c:pt>
                <c:pt idx="5">
                  <c:v>39</c:v>
                </c:pt>
                <c:pt idx="6">
                  <c:v>51</c:v>
                </c:pt>
                <c:pt idx="7">
                  <c:v>52</c:v>
                </c:pt>
                <c:pt idx="8">
                  <c:v>66</c:v>
                </c:pt>
                <c:pt idx="9">
                  <c:v>67</c:v>
                </c:pt>
                <c:pt idx="10">
                  <c:v>79</c:v>
                </c:pt>
                <c:pt idx="11">
                  <c:v>80</c:v>
                </c:pt>
                <c:pt idx="12">
                  <c:v>93</c:v>
                </c:pt>
                <c:pt idx="13">
                  <c:v>94</c:v>
                </c:pt>
                <c:pt idx="14">
                  <c:v>106</c:v>
                </c:pt>
                <c:pt idx="15">
                  <c:v>107</c:v>
                </c:pt>
                <c:pt idx="16">
                  <c:v>120</c:v>
                </c:pt>
                <c:pt idx="17">
                  <c:v>121</c:v>
                </c:pt>
                <c:pt idx="18">
                  <c:v>133</c:v>
                </c:pt>
                <c:pt idx="19">
                  <c:v>134</c:v>
                </c:pt>
                <c:pt idx="20">
                  <c:v>147</c:v>
                </c:pt>
                <c:pt idx="21">
                  <c:v>148</c:v>
                </c:pt>
                <c:pt idx="22">
                  <c:v>160</c:v>
                </c:pt>
                <c:pt idx="23">
                  <c:v>161</c:v>
                </c:pt>
                <c:pt idx="24">
                  <c:v>174</c:v>
                </c:pt>
                <c:pt idx="25">
                  <c:v>175</c:v>
                </c:pt>
                <c:pt idx="26">
                  <c:v>187</c:v>
                </c:pt>
                <c:pt idx="27">
                  <c:v>188</c:v>
                </c:pt>
                <c:pt idx="28">
                  <c:v>202</c:v>
                </c:pt>
                <c:pt idx="29">
                  <c:v>203</c:v>
                </c:pt>
                <c:pt idx="30">
                  <c:v>215</c:v>
                </c:pt>
                <c:pt idx="31">
                  <c:v>216</c:v>
                </c:pt>
                <c:pt idx="32">
                  <c:v>229</c:v>
                </c:pt>
                <c:pt idx="33">
                  <c:v>230</c:v>
                </c:pt>
                <c:pt idx="34">
                  <c:v>242</c:v>
                </c:pt>
                <c:pt idx="35">
                  <c:v>243</c:v>
                </c:pt>
                <c:pt idx="36">
                  <c:v>256</c:v>
                </c:pt>
                <c:pt idx="37">
                  <c:v>257</c:v>
                </c:pt>
                <c:pt idx="38">
                  <c:v>269</c:v>
                </c:pt>
                <c:pt idx="39">
                  <c:v>270</c:v>
                </c:pt>
                <c:pt idx="40">
                  <c:v>284</c:v>
                </c:pt>
                <c:pt idx="41">
                  <c:v>285</c:v>
                </c:pt>
                <c:pt idx="42">
                  <c:v>296</c:v>
                </c:pt>
                <c:pt idx="43">
                  <c:v>297</c:v>
                </c:pt>
                <c:pt idx="44">
                  <c:v>311</c:v>
                </c:pt>
                <c:pt idx="45">
                  <c:v>312</c:v>
                </c:pt>
                <c:pt idx="46">
                  <c:v>323</c:v>
                </c:pt>
                <c:pt idx="47">
                  <c:v>324</c:v>
                </c:pt>
                <c:pt idx="48">
                  <c:v>338</c:v>
                </c:pt>
                <c:pt idx="49">
                  <c:v>339</c:v>
                </c:pt>
                <c:pt idx="50">
                  <c:v>350</c:v>
                </c:pt>
                <c:pt idx="51">
                  <c:v>351</c:v>
                </c:pt>
                <c:pt idx="52">
                  <c:v>365</c:v>
                </c:pt>
                <c:pt idx="53">
                  <c:v>366</c:v>
                </c:pt>
              </c:numCache>
            </c:numRef>
          </c:xVal>
          <c:yVal>
            <c:numRef>
              <c:f>Knotenlinie!$E$7:$E$60</c:f>
              <c:numCache>
                <c:formatCode>0.00</c:formatCode>
                <c:ptCount val="54"/>
                <c:pt idx="0">
                  <c:v>328.04151260504199</c:v>
                </c:pt>
                <c:pt idx="4">
                  <c:v>327.69786885245901</c:v>
                </c:pt>
                <c:pt idx="8">
                  <c:v>327.78120000000001</c:v>
                </c:pt>
                <c:pt idx="12">
                  <c:v>326.84233333333333</c:v>
                </c:pt>
                <c:pt idx="16">
                  <c:v>324.47106194690264</c:v>
                </c:pt>
                <c:pt idx="20">
                  <c:v>321.52199999999999</c:v>
                </c:pt>
                <c:pt idx="24">
                  <c:v>319.42209090909091</c:v>
                </c:pt>
                <c:pt idx="28">
                  <c:v>318.59534482758619</c:v>
                </c:pt>
                <c:pt idx="32">
                  <c:v>318.57059322033899</c:v>
                </c:pt>
                <c:pt idx="36">
                  <c:v>318.34060869565218</c:v>
                </c:pt>
                <c:pt idx="40">
                  <c:v>316.77823008849555</c:v>
                </c:pt>
                <c:pt idx="44">
                  <c:v>313.87666666666667</c:v>
                </c:pt>
                <c:pt idx="48">
                  <c:v>310.92495327102802</c:v>
                </c:pt>
                <c:pt idx="52">
                  <c:v>309.42818181818183</c:v>
                </c:pt>
              </c:numCache>
            </c:numRef>
          </c:yVal>
          <c:smooth val="1"/>
        </c:ser>
        <c:ser>
          <c:idx val="1"/>
          <c:order val="1"/>
          <c:tx>
            <c:v>Markierungen 1 in Diagr. 2b</c:v>
          </c:tx>
          <c:spPr>
            <a:ln>
              <a:prstDash val="solid"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Knotenlinie!$R$44:$R$45</c:f>
              <c:numCache>
                <c:formatCode>General</c:formatCode>
                <c:ptCount val="2"/>
                <c:pt idx="0" formatCode="0">
                  <c:v>45</c:v>
                </c:pt>
                <c:pt idx="1">
                  <c:v>45</c:v>
                </c:pt>
              </c:numCache>
            </c:numRef>
          </c:xVal>
          <c:yVal>
            <c:numRef>
              <c:f>Knotenlinie!$S$44:$S$45</c:f>
              <c:numCache>
                <c:formatCode>0</c:formatCode>
                <c:ptCount val="2"/>
                <c:pt idx="0">
                  <c:v>311</c:v>
                </c:pt>
                <c:pt idx="1">
                  <c:v>329</c:v>
                </c:pt>
              </c:numCache>
            </c:numRef>
          </c:yVal>
          <c:smooth val="1"/>
        </c:ser>
        <c:ser>
          <c:idx val="2"/>
          <c:order val="2"/>
          <c:tx>
            <c:v>Markierungen 2 in Diagr. 2b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Knotenlinie!$R$46:$R$47</c:f>
              <c:numCache>
                <c:formatCode>0</c:formatCode>
                <c:ptCount val="2"/>
                <c:pt idx="0">
                  <c:v>222</c:v>
                </c:pt>
                <c:pt idx="1">
                  <c:v>222</c:v>
                </c:pt>
              </c:numCache>
            </c:numRef>
          </c:xVal>
          <c:yVal>
            <c:numRef>
              <c:f>Knotenlinie!$S$46:$S$47</c:f>
              <c:numCache>
                <c:formatCode>General</c:formatCode>
                <c:ptCount val="2"/>
                <c:pt idx="0" formatCode="0">
                  <c:v>311</c:v>
                </c:pt>
                <c:pt idx="1">
                  <c:v>323</c:v>
                </c:pt>
              </c:numCache>
            </c:numRef>
          </c:yVal>
          <c:smooth val="1"/>
        </c:ser>
        <c:ser>
          <c:idx val="3"/>
          <c:order val="3"/>
          <c:tx>
            <c:v>Markierungen 3 in Diagr. 2b</c:v>
          </c:tx>
          <c:spPr>
            <a:ln w="19050">
              <a:solidFill>
                <a:srgbClr val="C00000"/>
              </a:solidFill>
              <a:headEnd type="arrow" w="med" len="med"/>
              <a:tailEnd type="arrow" w="med" len="me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1502104475207747"/>
                  <c:y val="-4.1187159297395516E-4"/>
                </c:manualLayout>
              </c:layout>
              <c:tx>
                <c:rich>
                  <a:bodyPr/>
                  <a:lstStyle/>
                  <a:p>
                    <a:pPr>
                      <a:defRPr sz="1100" b="1"/>
                    </a:pPr>
                    <a:r>
                      <a:rPr lang="en-US" sz="1100" b="1"/>
                      <a:t>177 d</a:t>
                    </a:r>
                    <a:endParaRPr lang="en-US"/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txPr>
              <a:bodyPr/>
              <a:lstStyle/>
              <a:p>
                <a:pPr>
                  <a:defRPr sz="1100" b="1"/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Knotenlinie!$R$48:$R$49</c:f>
              <c:numCache>
                <c:formatCode>General</c:formatCode>
                <c:ptCount val="2"/>
                <c:pt idx="0" formatCode="0">
                  <c:v>45</c:v>
                </c:pt>
                <c:pt idx="1">
                  <c:v>222</c:v>
                </c:pt>
              </c:numCache>
            </c:numRef>
          </c:xVal>
          <c:yVal>
            <c:numRef>
              <c:f>Knotenlinie!$S$48:$S$49</c:f>
              <c:numCache>
                <c:formatCode>0</c:formatCode>
                <c:ptCount val="2"/>
                <c:pt idx="0">
                  <c:v>314</c:v>
                </c:pt>
                <c:pt idx="1">
                  <c:v>314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661888"/>
        <c:axId val="144672256"/>
      </c:scatterChart>
      <c:valAx>
        <c:axId val="144661888"/>
        <c:scaling>
          <c:orientation val="minMax"/>
          <c:max val="37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Tages-Nr.</a:t>
                </a:r>
              </a:p>
            </c:rich>
          </c:tx>
          <c:layout>
            <c:manualLayout>
              <c:xMode val="edge"/>
              <c:yMode val="edge"/>
              <c:x val="0.80475775373813296"/>
              <c:y val="0.75298116581581154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19050">
            <a:solidFill>
              <a:srgbClr val="000000"/>
            </a:solidFill>
            <a:prstDash val="solid"/>
            <a:tailEnd type="arrow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4672256"/>
        <c:crosses val="autoZero"/>
        <c:crossBetween val="midCat"/>
        <c:majorUnit val="50"/>
        <c:minorUnit val="10"/>
      </c:valAx>
      <c:valAx>
        <c:axId val="144672256"/>
        <c:scaling>
          <c:orientation val="minMax"/>
          <c:max val="333"/>
          <c:min val="3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Symbol"/>
                    <a:ea typeface="Symbol"/>
                    <a:cs typeface="Symbol"/>
                  </a:defRPr>
                </a:pPr>
                <a:r>
                  <a:rPr lang="de-DE" sz="1100"/>
                  <a:t>l (°)</a:t>
                </a:r>
              </a:p>
            </c:rich>
          </c:tx>
          <c:layout>
            <c:manualLayout>
              <c:xMode val="edge"/>
              <c:yMode val="edge"/>
              <c:x val="0.15678676529070229"/>
              <c:y val="0.1726434195725534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9050">
            <a:solidFill>
              <a:srgbClr val="000000"/>
            </a:solidFill>
            <a:prstDash val="solid"/>
            <a:tailEnd type="arrow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4661888"/>
        <c:crosses val="autoZero"/>
        <c:crossBetween val="midCat"/>
        <c:majorUnit val="5"/>
        <c:minorUnit val="1"/>
      </c:valAx>
      <c:spPr>
        <a:noFill/>
        <a:ln w="12700">
          <a:solidFill>
            <a:sysClr val="windowText" lastClr="000000">
              <a:shade val="95000"/>
              <a:satMod val="105000"/>
            </a:sysClr>
          </a:solidFill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6.8006860153311158E-2"/>
          <c:y val="0.86679790026246717"/>
          <c:w val="0.745511432009627"/>
          <c:h val="0.12221308874852184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1000"/>
          </a:pPr>
          <a:endParaRPr lang="de-DE"/>
        </a:p>
      </c:txPr>
    </c:legend>
    <c:plotVisOnly val="1"/>
    <c:dispBlanksAs val="gap"/>
    <c:showDLblsOverMax val="0"/>
  </c:chart>
  <c:spPr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522" footer="0.49212598450000522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000" b="1" i="0" u="sng" strike="noStrike">
                <a:solidFill>
                  <a:srgbClr val="000000"/>
                </a:solidFill>
                <a:latin typeface="Arial"/>
                <a:cs typeface="Arial"/>
              </a:rPr>
              <a:t>Diagramm 1</a:t>
            </a:r>
            <a:r>
              <a:rPr lang="de-DE" sz="1000" b="0" i="0" u="none" strike="noStrike">
                <a:solidFill>
                  <a:srgbClr val="000000"/>
                </a:solidFill>
                <a:latin typeface="Arial"/>
                <a:cs typeface="Arial"/>
              </a:rPr>
              <a:t>  </a:t>
            </a:r>
            <a:r>
              <a:rPr lang="de-DE" sz="1000" b="1" i="0" u="none" strike="noStrike">
                <a:solidFill>
                  <a:srgbClr val="000000"/>
                </a:solidFill>
                <a:latin typeface="Arial"/>
                <a:cs typeface="Arial"/>
              </a:rPr>
              <a:t>Neigung der Mondbahn gegen die Ekliptik 2008</a:t>
            </a:r>
          </a:p>
        </c:rich>
      </c:tx>
      <c:layout>
        <c:manualLayout>
          <c:xMode val="edge"/>
          <c:yMode val="edge"/>
          <c:x val="0.11727101276519562"/>
          <c:y val="3.2171581769436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948927185633567E-2"/>
          <c:y val="0.14209133882181779"/>
          <c:w val="0.84861495599738068"/>
          <c:h val="0.75156474073448598"/>
        </c:manualLayout>
      </c:layout>
      <c:scatterChart>
        <c:scatterStyle val="smoothMarker"/>
        <c:varyColors val="0"/>
        <c:ser>
          <c:idx val="2"/>
          <c:order val="2"/>
          <c:tx>
            <c:v>Doppelpfeil in Diagramm 1</c:v>
          </c:tx>
          <c:spPr>
            <a:ln w="19050">
              <a:solidFill>
                <a:schemeClr val="accent3">
                  <a:lumMod val="75000"/>
                </a:schemeClr>
              </a:solidFill>
              <a:headEnd type="arrow" w="med" len="med"/>
              <a:tailEnd type="arrow" w="med" len="med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layout>
                <c:manualLayout>
                  <c:x val="-0.24051700680272109"/>
                  <c:y val="1.9332066250339398E-3"/>
                </c:manualLayout>
              </c:layout>
              <c:tx>
                <c:rich>
                  <a:bodyPr/>
                  <a:lstStyle/>
                  <a:p>
                    <a:pPr>
                      <a:defRPr sz="1100" b="1"/>
                    </a:pPr>
                    <a:r>
                      <a:rPr lang="en-US" sz="1100" b="1"/>
                      <a:t>177 d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Inklination!$I$30:$I$31</c:f>
              <c:numCache>
                <c:formatCode>General</c:formatCode>
                <c:ptCount val="2"/>
                <c:pt idx="0" formatCode="0">
                  <c:v>45</c:v>
                </c:pt>
                <c:pt idx="1">
                  <c:v>222</c:v>
                </c:pt>
              </c:numCache>
            </c:numRef>
          </c:xVal>
          <c:yVal>
            <c:numRef>
              <c:f>Inklination!$J$30:$J$31</c:f>
              <c:numCache>
                <c:formatCode>0.00</c:formatCode>
                <c:ptCount val="2"/>
                <c:pt idx="0">
                  <c:v>5.23</c:v>
                </c:pt>
                <c:pt idx="1">
                  <c:v>5.23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438848"/>
        <c:axId val="127440768"/>
      </c:scatterChart>
      <c:scatterChart>
        <c:scatterStyle val="lineMarker"/>
        <c:varyColors val="0"/>
        <c:ser>
          <c:idx val="0"/>
          <c:order val="0"/>
          <c:tx>
            <c:v>Inklination</c:v>
          </c:tx>
          <c:spPr>
            <a:ln w="28575">
              <a:noFill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Inklination!$B$5:$B$34</c:f>
              <c:numCache>
                <c:formatCode>0</c:formatCode>
                <c:ptCount val="30"/>
                <c:pt idx="0">
                  <c:v>5</c:v>
                </c:pt>
                <c:pt idx="1">
                  <c:v>18</c:v>
                </c:pt>
                <c:pt idx="2">
                  <c:v>32</c:v>
                </c:pt>
                <c:pt idx="3">
                  <c:v>45</c:v>
                </c:pt>
                <c:pt idx="4">
                  <c:v>59</c:v>
                </c:pt>
                <c:pt idx="5">
                  <c:v>73</c:v>
                </c:pt>
                <c:pt idx="6">
                  <c:v>86</c:v>
                </c:pt>
                <c:pt idx="7">
                  <c:v>100</c:v>
                </c:pt>
                <c:pt idx="8">
                  <c:v>113</c:v>
                </c:pt>
                <c:pt idx="9">
                  <c:v>127</c:v>
                </c:pt>
                <c:pt idx="10">
                  <c:v>140</c:v>
                </c:pt>
                <c:pt idx="11">
                  <c:v>154</c:v>
                </c:pt>
                <c:pt idx="12">
                  <c:v>168</c:v>
                </c:pt>
                <c:pt idx="13">
                  <c:v>182</c:v>
                </c:pt>
                <c:pt idx="14">
                  <c:v>195</c:v>
                </c:pt>
                <c:pt idx="15">
                  <c:v>209</c:v>
                </c:pt>
                <c:pt idx="16">
                  <c:v>222</c:v>
                </c:pt>
                <c:pt idx="17">
                  <c:v>236</c:v>
                </c:pt>
                <c:pt idx="18">
                  <c:v>249</c:v>
                </c:pt>
                <c:pt idx="19">
                  <c:v>263</c:v>
                </c:pt>
                <c:pt idx="20">
                  <c:v>277</c:v>
                </c:pt>
                <c:pt idx="21">
                  <c:v>290</c:v>
                </c:pt>
                <c:pt idx="22">
                  <c:v>304</c:v>
                </c:pt>
                <c:pt idx="23">
                  <c:v>318</c:v>
                </c:pt>
                <c:pt idx="24">
                  <c:v>331</c:v>
                </c:pt>
                <c:pt idx="25">
                  <c:v>345</c:v>
                </c:pt>
                <c:pt idx="26">
                  <c:v>358</c:v>
                </c:pt>
                <c:pt idx="27">
                  <c:v>372</c:v>
                </c:pt>
                <c:pt idx="28">
                  <c:v>385</c:v>
                </c:pt>
                <c:pt idx="29">
                  <c:v>400</c:v>
                </c:pt>
              </c:numCache>
            </c:numRef>
          </c:xVal>
          <c:yVal>
            <c:numRef>
              <c:f>Inklination!$D$5:$D$34</c:f>
              <c:numCache>
                <c:formatCode>0.00</c:formatCode>
                <c:ptCount val="30"/>
                <c:pt idx="0">
                  <c:v>5.0999999999999996</c:v>
                </c:pt>
                <c:pt idx="1">
                  <c:v>5.2</c:v>
                </c:pt>
                <c:pt idx="2">
                  <c:v>5.25</c:v>
                </c:pt>
                <c:pt idx="3">
                  <c:v>5.28</c:v>
                </c:pt>
                <c:pt idx="4">
                  <c:v>5.27</c:v>
                </c:pt>
                <c:pt idx="5">
                  <c:v>5.2</c:v>
                </c:pt>
                <c:pt idx="6">
                  <c:v>5.15</c:v>
                </c:pt>
                <c:pt idx="7">
                  <c:v>5.09</c:v>
                </c:pt>
                <c:pt idx="8">
                  <c:v>5.04</c:v>
                </c:pt>
                <c:pt idx="9">
                  <c:v>5</c:v>
                </c:pt>
                <c:pt idx="10">
                  <c:v>4.99</c:v>
                </c:pt>
                <c:pt idx="11">
                  <c:v>5.0199999999999996</c:v>
                </c:pt>
                <c:pt idx="12">
                  <c:v>5.0599999999999996</c:v>
                </c:pt>
                <c:pt idx="13">
                  <c:v>5.13</c:v>
                </c:pt>
                <c:pt idx="14">
                  <c:v>5.2</c:v>
                </c:pt>
                <c:pt idx="15">
                  <c:v>5.26</c:v>
                </c:pt>
                <c:pt idx="16">
                  <c:v>5.28</c:v>
                </c:pt>
                <c:pt idx="17">
                  <c:v>5.27</c:v>
                </c:pt>
                <c:pt idx="18">
                  <c:v>5.22</c:v>
                </c:pt>
                <c:pt idx="19">
                  <c:v>5.15</c:v>
                </c:pt>
                <c:pt idx="20">
                  <c:v>5.07</c:v>
                </c:pt>
                <c:pt idx="21">
                  <c:v>5</c:v>
                </c:pt>
                <c:pt idx="22">
                  <c:v>4.9800000000000004</c:v>
                </c:pt>
                <c:pt idx="23">
                  <c:v>4.99</c:v>
                </c:pt>
                <c:pt idx="24">
                  <c:v>5.0199999999999996</c:v>
                </c:pt>
                <c:pt idx="25">
                  <c:v>5.1100000000000003</c:v>
                </c:pt>
                <c:pt idx="26">
                  <c:v>5.16</c:v>
                </c:pt>
                <c:pt idx="27">
                  <c:v>5.23</c:v>
                </c:pt>
                <c:pt idx="28">
                  <c:v>5.28</c:v>
                </c:pt>
                <c:pt idx="29">
                  <c:v>5.27</c:v>
                </c:pt>
              </c:numCache>
            </c:numRef>
          </c:yVal>
          <c:smooth val="0"/>
        </c:ser>
        <c:ser>
          <c:idx val="1"/>
          <c:order val="1"/>
          <c:tx>
            <c:v>Linie Mittelwert</c:v>
          </c:tx>
          <c:spPr>
            <a:ln w="1905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layout>
                <c:manualLayout>
                  <c:x val="-0.5408096845037228"/>
                  <c:y val="1.9328775125679824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100">
                        <a:solidFill>
                          <a:srgbClr val="C00000"/>
                        </a:solidFill>
                      </a:rPr>
                      <a:t>Mittelwert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Inklination!$I$33:$I$34</c:f>
              <c:numCache>
                <c:formatCode>General</c:formatCode>
                <c:ptCount val="2"/>
                <c:pt idx="0">
                  <c:v>45</c:v>
                </c:pt>
                <c:pt idx="1">
                  <c:v>385</c:v>
                </c:pt>
              </c:numCache>
            </c:numRef>
          </c:xVal>
          <c:yVal>
            <c:numRef>
              <c:f>Inklination!$J$33:$J$34</c:f>
              <c:numCache>
                <c:formatCode>General</c:formatCode>
                <c:ptCount val="2"/>
                <c:pt idx="0" formatCode="0.00">
                  <c:v>5.13</c:v>
                </c:pt>
                <c:pt idx="1">
                  <c:v>5.13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438848"/>
        <c:axId val="127440768"/>
      </c:scatterChart>
      <c:valAx>
        <c:axId val="127438848"/>
        <c:scaling>
          <c:orientation val="minMax"/>
          <c:max val="40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Tages-Nr.</a:t>
                </a:r>
              </a:p>
            </c:rich>
          </c:tx>
          <c:layout>
            <c:manualLayout>
              <c:xMode val="edge"/>
              <c:yMode val="edge"/>
              <c:x val="0.81150169447209941"/>
              <c:y val="0.83028180687940356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0"/>
        <c:majorTickMark val="out"/>
        <c:minorTickMark val="out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7440768"/>
        <c:crosses val="autoZero"/>
        <c:crossBetween val="midCat"/>
        <c:majorUnit val="50"/>
        <c:minorUnit val="10"/>
      </c:valAx>
      <c:valAx>
        <c:axId val="127440768"/>
        <c:scaling>
          <c:orientation val="minMax"/>
          <c:max val="5.38"/>
          <c:min val="4.9000000000000004"/>
        </c:scaling>
        <c:delete val="0"/>
        <c:axPos val="l"/>
        <c:minorGridlines/>
        <c:title>
          <c:tx>
            <c:rich>
              <a:bodyPr rot="0" vert="horz"/>
              <a:lstStyle/>
              <a:p>
                <a:pPr algn="ctr"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i="1"/>
                  <a:t>i</a:t>
                </a:r>
                <a:r>
                  <a:rPr lang="de-DE"/>
                  <a:t> (°)</a:t>
                </a:r>
              </a:p>
            </c:rich>
          </c:tx>
          <c:layout>
            <c:manualLayout>
              <c:xMode val="edge"/>
              <c:yMode val="edge"/>
              <c:x val="0.1100083466578172"/>
              <c:y val="0.12552355297693055"/>
            </c:manualLayout>
          </c:layout>
          <c:overlay val="0"/>
          <c:spPr>
            <a:solidFill>
              <a:sysClr val="window" lastClr="FFFFFF"/>
            </a:solidFill>
            <a:ln w="25400">
              <a:noFill/>
            </a:ln>
          </c:spPr>
        </c:title>
        <c:numFmt formatCode="0.00" sourceLinked="1"/>
        <c:majorTickMark val="out"/>
        <c:minorTickMark val="out"/>
        <c:tickLblPos val="nextTo"/>
        <c:spPr>
          <a:ln w="19050">
            <a:solidFill>
              <a:srgbClr val="000000"/>
            </a:solidFill>
            <a:prstDash val="solid"/>
            <a:tailEnd type="arrow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7438848"/>
        <c:crosses val="autoZero"/>
        <c:crossBetween val="midCat"/>
        <c:majorUnit val="0.05"/>
        <c:minorUnit val="1.0000000000000005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511" footer="0.49212598450000511"/>
    <c:pageSetup paperSize="9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200" u="sng"/>
              <a:t>Diagramm 5</a:t>
            </a:r>
            <a:r>
              <a:rPr lang="en-US" sz="1200"/>
              <a:t>  Mondbahnen im geozentrisch-ekliptikalen</a:t>
            </a:r>
            <a:r>
              <a:rPr lang="en-US" sz="1200" baseline="0"/>
              <a:t> System </a:t>
            </a:r>
            <a:r>
              <a:rPr lang="en-US" sz="1200"/>
              <a:t> Jan. 2002 und Jan. 2003 - Apsidendrehung</a:t>
            </a:r>
          </a:p>
        </c:rich>
      </c:tx>
      <c:layout>
        <c:manualLayout>
          <c:xMode val="edge"/>
          <c:yMode val="edge"/>
          <c:x val="0.17687489063867018"/>
          <c:y val="1.85185185185185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876255147005709E-2"/>
          <c:y val="0.13999003065793469"/>
          <c:w val="0.86316644794400699"/>
          <c:h val="0.76339610489865239"/>
        </c:manualLayout>
      </c:layout>
      <c:scatterChart>
        <c:scatterStyle val="lineMarker"/>
        <c:varyColors val="0"/>
        <c:ser>
          <c:idx val="6"/>
          <c:order val="2"/>
          <c:tx>
            <c:v>Erde</c:v>
          </c:tx>
          <c:spPr>
            <a:ln w="28575">
              <a:noFill/>
            </a:ln>
          </c:spPr>
          <c:marker>
            <c:symbol val="circle"/>
            <c:size val="12"/>
            <c:spPr>
              <a:solidFill>
                <a:srgbClr val="C00000"/>
              </a:solidFill>
            </c:spPr>
          </c:marker>
          <c:xVal>
            <c:numRef>
              <c:f>Mondbahn!$H$68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Mondbahn!$I$68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7"/>
          <c:order val="3"/>
          <c:tx>
            <c:v>Apsiden Jan. 2002</c:v>
          </c:tx>
          <c:spPr>
            <a:ln w="25400">
              <a:noFill/>
            </a:ln>
          </c:spPr>
          <c:marker>
            <c:symbol val="diamond"/>
            <c:size val="9"/>
            <c:spPr>
              <a:solidFill>
                <a:srgbClr val="C00000"/>
              </a:solidFill>
            </c:spPr>
          </c:marker>
          <c:xVal>
            <c:numRef>
              <c:f>Mondbahn!$H$70:$H$72</c:f>
              <c:numCache>
                <c:formatCode>General</c:formatCode>
                <c:ptCount val="3"/>
                <c:pt idx="0" formatCode="0.0E+00">
                  <c:v>394817.75935975095</c:v>
                </c:pt>
                <c:pt idx="1">
                  <c:v>0</c:v>
                </c:pt>
                <c:pt idx="2" formatCode="0.0E+00">
                  <c:v>-293381.81804332201</c:v>
                </c:pt>
              </c:numCache>
            </c:numRef>
          </c:xVal>
          <c:yVal>
            <c:numRef>
              <c:f>Mondbahn!$I$70:$I$72</c:f>
              <c:numCache>
                <c:formatCode>General</c:formatCode>
                <c:ptCount val="3"/>
                <c:pt idx="0" formatCode="0.0E+00">
                  <c:v>-92022.263035342636</c:v>
                </c:pt>
                <c:pt idx="1">
                  <c:v>0</c:v>
                </c:pt>
                <c:pt idx="2" formatCode="0.0E+00">
                  <c:v>208804.020175846</c:v>
                </c:pt>
              </c:numCache>
            </c:numRef>
          </c:yVal>
          <c:smooth val="0"/>
        </c:ser>
        <c:ser>
          <c:idx val="8"/>
          <c:order val="4"/>
          <c:tx>
            <c:v>Apsiden Jan. 2003</c:v>
          </c:tx>
          <c:spPr>
            <a:ln w="25400">
              <a:noFill/>
            </a:ln>
          </c:spPr>
          <c:marker>
            <c:symbol val="diamond"/>
            <c:size val="9"/>
            <c:spPr>
              <a:solidFill>
                <a:schemeClr val="tx2"/>
              </a:solidFill>
            </c:spPr>
          </c:marker>
          <c:dLbls>
            <c:dLbl>
              <c:idx val="0"/>
              <c:layout>
                <c:manualLayout>
                  <c:x val="-3.6881820693465948E-3"/>
                  <c:y val="-1.151499061242494E-2"/>
                </c:manualLayout>
              </c:layout>
              <c:tx>
                <c:rich>
                  <a:bodyPr/>
                  <a:lstStyle/>
                  <a:p>
                    <a:pPr>
                      <a:defRPr sz="11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100" b="1">
                        <a:solidFill>
                          <a:sysClr val="windowText" lastClr="000000"/>
                        </a:solidFill>
                      </a:rPr>
                      <a:t>Perigäum</a:t>
                    </a:r>
                  </a:p>
                  <a:p>
                    <a:pPr>
                      <a:defRPr sz="11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100" b="1">
                        <a:solidFill>
                          <a:sysClr val="windowText" lastClr="000000"/>
                        </a:solidFill>
                      </a:rPr>
                      <a:t>Jan.</a:t>
                    </a:r>
                    <a:r>
                      <a:rPr lang="en-US" sz="1100" b="1" baseline="0">
                        <a:solidFill>
                          <a:sysClr val="windowText" lastClr="000000"/>
                        </a:solidFill>
                      </a:rPr>
                      <a:t> 03</a:t>
                    </a:r>
                    <a:endParaRPr lang="en-US" sz="1100" b="1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721681171432518E-2"/>
                  <c:y val="-8.9636508448817549E-3"/>
                </c:manualLayout>
              </c:layout>
              <c:tx>
                <c:rich>
                  <a:bodyPr/>
                  <a:lstStyle/>
                  <a:p>
                    <a:pPr>
                      <a:defRPr sz="1200"/>
                    </a:pPr>
                    <a:r>
                      <a:rPr lang="en-US" sz="1200"/>
                      <a:t>ca. 40°</a:t>
                    </a:r>
                  </a:p>
                </c:rich>
              </c:tx>
              <c:spPr>
                <a:solidFill>
                  <a:schemeClr val="lt1"/>
                </a:solidFill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elete val="1"/>
            </c:dLbl>
            <c:spPr>
              <a:noFill/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Mondbahn!$H$67:$H$69</c:f>
              <c:numCache>
                <c:formatCode>General</c:formatCode>
                <c:ptCount val="3"/>
                <c:pt idx="0" formatCode="0.0E+00">
                  <c:v>-370062.79070865002</c:v>
                </c:pt>
                <c:pt idx="1">
                  <c:v>0</c:v>
                </c:pt>
                <c:pt idx="2" formatCode="0.0E+00">
                  <c:v>365881.64411540871</c:v>
                </c:pt>
              </c:numCache>
            </c:numRef>
          </c:xVal>
          <c:yVal>
            <c:numRef>
              <c:f>Mondbahn!$I$67:$I$69</c:f>
              <c:numCache>
                <c:formatCode>General</c:formatCode>
                <c:ptCount val="3"/>
                <c:pt idx="0" formatCode="0.0E+00">
                  <c:v>-10078.240566978127</c:v>
                </c:pt>
                <c:pt idx="1">
                  <c:v>0</c:v>
                </c:pt>
                <c:pt idx="2" formatCode="0.0E+00">
                  <c:v>172014.86127484858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580032"/>
        <c:axId val="127594496"/>
      </c:scatterChart>
      <c:scatterChart>
        <c:scatterStyle val="smoothMarker"/>
        <c:varyColors val="0"/>
        <c:ser>
          <c:idx val="0"/>
          <c:order val="0"/>
          <c:tx>
            <c:v>Bahn Januar 02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26"/>
              <c:layout>
                <c:manualLayout>
                  <c:x val="8.771929824561403E-3"/>
                  <c:y val="1.6161454519771811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rgbClr val="C00000"/>
                        </a:solidFill>
                      </a:defRPr>
                    </a:pPr>
                    <a:r>
                      <a:rPr lang="en-US" sz="1200" b="1">
                        <a:solidFill>
                          <a:srgbClr val="C00000"/>
                        </a:solidFill>
                      </a:rPr>
                      <a:t>Perigäum</a:t>
                    </a:r>
                  </a:p>
                  <a:p>
                    <a:pPr>
                      <a:defRPr>
                        <a:solidFill>
                          <a:srgbClr val="C00000"/>
                        </a:solidFill>
                      </a:defRPr>
                    </a:pPr>
                    <a:r>
                      <a:rPr lang="en-US" sz="1200" b="1">
                        <a:solidFill>
                          <a:srgbClr val="C00000"/>
                        </a:solidFill>
                      </a:rPr>
                      <a:t>Jan. 02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Mondbahn!$G$9:$G$36</c:f>
              <c:numCache>
                <c:formatCode>0.0E+00</c:formatCode>
                <c:ptCount val="28"/>
                <c:pt idx="0">
                  <c:v>-354144.25392078276</c:v>
                </c:pt>
                <c:pt idx="1">
                  <c:v>-369062.20023702248</c:v>
                </c:pt>
                <c:pt idx="2">
                  <c:v>-361640.84336092143</c:v>
                </c:pt>
                <c:pt idx="3">
                  <c:v>-332964.87707580935</c:v>
                </c:pt>
                <c:pt idx="4">
                  <c:v>-285118.1909435729</c:v>
                </c:pt>
                <c:pt idx="5">
                  <c:v>-221418.12803901485</c:v>
                </c:pt>
                <c:pt idx="6">
                  <c:v>-145776.7066720911</c:v>
                </c:pt>
                <c:pt idx="7">
                  <c:v>-62335.966941163722</c:v>
                </c:pt>
                <c:pt idx="8">
                  <c:v>24284.865698090558</c:v>
                </c:pt>
                <c:pt idx="9">
                  <c:v>109901.88038018656</c:v>
                </c:pt>
                <c:pt idx="10">
                  <c:v>190449.72513155692</c:v>
                </c:pt>
                <c:pt idx="11">
                  <c:v>262105.39652446768</c:v>
                </c:pt>
                <c:pt idx="12">
                  <c:v>321690.38344704953</c:v>
                </c:pt>
                <c:pt idx="13">
                  <c:v>366541.80503451178</c:v>
                </c:pt>
                <c:pt idx="14">
                  <c:v>394817.75935975095</c:v>
                </c:pt>
                <c:pt idx="15">
                  <c:v>405200.43859797338</c:v>
                </c:pt>
                <c:pt idx="16">
                  <c:v>397105.88105641992</c:v>
                </c:pt>
                <c:pt idx="17">
                  <c:v>370684.1819362737</c:v>
                </c:pt>
                <c:pt idx="18">
                  <c:v>326923.97048382851</c:v>
                </c:pt>
                <c:pt idx="19">
                  <c:v>267587.97455583111</c:v>
                </c:pt>
                <c:pt idx="20">
                  <c:v>195002.90367336661</c:v>
                </c:pt>
                <c:pt idx="21">
                  <c:v>112376.59569874173</c:v>
                </c:pt>
                <c:pt idx="22">
                  <c:v>23611.765161155421</c:v>
                </c:pt>
                <c:pt idx="23">
                  <c:v>-66556.941645853483</c:v>
                </c:pt>
                <c:pt idx="24">
                  <c:v>-153016.11967636546</c:v>
                </c:pt>
                <c:pt idx="25">
                  <c:v>-230346.59927613227</c:v>
                </c:pt>
                <c:pt idx="26">
                  <c:v>-293381.81804332201</c:v>
                </c:pt>
                <c:pt idx="27">
                  <c:v>-337768.41355592437</c:v>
                </c:pt>
              </c:numCache>
            </c:numRef>
          </c:xVal>
          <c:yVal>
            <c:numRef>
              <c:f>Mondbahn!$H$9:$H$36</c:f>
              <c:numCache>
                <c:formatCode>0.0E+00</c:formatCode>
                <c:ptCount val="28"/>
                <c:pt idx="0">
                  <c:v>96285.239859970985</c:v>
                </c:pt>
                <c:pt idx="1">
                  <c:v>5282.2680931523519</c:v>
                </c:pt>
                <c:pt idx="2">
                  <c:v>-85888.243742676816</c:v>
                </c:pt>
                <c:pt idx="3">
                  <c:v>-171855.9880652728</c:v>
                </c:pt>
                <c:pt idx="4">
                  <c:v>-248024.24718777862</c:v>
                </c:pt>
                <c:pt idx="5">
                  <c:v>-310302.19557021896</c:v>
                </c:pt>
                <c:pt idx="6">
                  <c:v>-355794.04406459519</c:v>
                </c:pt>
                <c:pt idx="7">
                  <c:v>-382757.19095205795</c:v>
                </c:pt>
                <c:pt idx="8">
                  <c:v>-390345.30264629249</c:v>
                </c:pt>
                <c:pt idx="9">
                  <c:v>-378778.21570003091</c:v>
                </c:pt>
                <c:pt idx="10">
                  <c:v>-349019.57279974205</c:v>
                </c:pt>
                <c:pt idx="11">
                  <c:v>-302689.47968628106</c:v>
                </c:pt>
                <c:pt idx="12">
                  <c:v>-242411.09132564504</c:v>
                </c:pt>
                <c:pt idx="13">
                  <c:v>-171077.04452100507</c:v>
                </c:pt>
                <c:pt idx="14">
                  <c:v>-92022.263035342636</c:v>
                </c:pt>
                <c:pt idx="15">
                  <c:v>-8983.0150845929147</c:v>
                </c:pt>
                <c:pt idx="16">
                  <c:v>74316.345647538954</c:v>
                </c:pt>
                <c:pt idx="17">
                  <c:v>153997.39368650224</c:v>
                </c:pt>
                <c:pt idx="18">
                  <c:v>226288.48296607766</c:v>
                </c:pt>
                <c:pt idx="19">
                  <c:v>287556.10908674484</c:v>
                </c:pt>
                <c:pt idx="20">
                  <c:v>334511.14713706583</c:v>
                </c:pt>
                <c:pt idx="21">
                  <c:v>364154.78953209106</c:v>
                </c:pt>
                <c:pt idx="22">
                  <c:v>374255.9078304235</c:v>
                </c:pt>
                <c:pt idx="23">
                  <c:v>363354.55621025374</c:v>
                </c:pt>
                <c:pt idx="24">
                  <c:v>331157.22416880506</c:v>
                </c:pt>
                <c:pt idx="25">
                  <c:v>278738.23598839279</c:v>
                </c:pt>
                <c:pt idx="26">
                  <c:v>208804.020175846</c:v>
                </c:pt>
                <c:pt idx="27">
                  <c:v>125413.67072179198</c:v>
                </c:pt>
              </c:numCache>
            </c:numRef>
          </c:yVal>
          <c:smooth val="1"/>
        </c:ser>
        <c:ser>
          <c:idx val="1"/>
          <c:order val="1"/>
          <c:tx>
            <c:v>Bahn Januar 03</c:v>
          </c:tx>
          <c:spPr>
            <a:ln w="19050">
              <a:solidFill>
                <a:schemeClr val="tx2"/>
              </a:solidFill>
              <a:prstDash val="dash"/>
            </a:ln>
          </c:spPr>
          <c:marker>
            <c:symbol val="none"/>
          </c:marker>
          <c:xVal>
            <c:numRef>
              <c:f>Mondbahn!$G$37:$G$64</c:f>
              <c:numCache>
                <c:formatCode>0.0E+00</c:formatCode>
                <c:ptCount val="28"/>
                <c:pt idx="0">
                  <c:v>-89212.194834331167</c:v>
                </c:pt>
                <c:pt idx="1">
                  <c:v>1169.6130209928201</c:v>
                </c:pt>
                <c:pt idx="2">
                  <c:v>91614.133429111476</c:v>
                </c:pt>
                <c:pt idx="3">
                  <c:v>177168.25299816762</c:v>
                </c:pt>
                <c:pt idx="4">
                  <c:v>253210.94583319314</c:v>
                </c:pt>
                <c:pt idx="5">
                  <c:v>316073.06460845907</c:v>
                </c:pt>
                <c:pt idx="6">
                  <c:v>362696.52831758681</c:v>
                </c:pt>
                <c:pt idx="7">
                  <c:v>391506.48349361558</c:v>
                </c:pt>
                <c:pt idx="8">
                  <c:v>401581.79526566004</c:v>
                </c:pt>
                <c:pt idx="9">
                  <c:v>392726.32407648227</c:v>
                </c:pt>
                <c:pt idx="10">
                  <c:v>365881.64411540871</c:v>
                </c:pt>
                <c:pt idx="11">
                  <c:v>322366.74724598252</c:v>
                </c:pt>
                <c:pt idx="12">
                  <c:v>264199.11128464708</c:v>
                </c:pt>
                <c:pt idx="13">
                  <c:v>193694.94413716008</c:v>
                </c:pt>
                <c:pt idx="14">
                  <c:v>114027.25598335547</c:v>
                </c:pt>
                <c:pt idx="15">
                  <c:v>28696.852521686727</c:v>
                </c:pt>
                <c:pt idx="16">
                  <c:v>-58195.569568335712</c:v>
                </c:pt>
                <c:pt idx="17">
                  <c:v>-142432.13642951261</c:v>
                </c:pt>
                <c:pt idx="18">
                  <c:v>-219142.06749723546</c:v>
                </c:pt>
                <c:pt idx="19">
                  <c:v>-283948.84537497378</c:v>
                </c:pt>
                <c:pt idx="20">
                  <c:v>-332696.0583423404</c:v>
                </c:pt>
                <c:pt idx="21">
                  <c:v>-362091.92768126546</c:v>
                </c:pt>
                <c:pt idx="22">
                  <c:v>-370062.79070865002</c:v>
                </c:pt>
                <c:pt idx="23">
                  <c:v>-355994.66242002597</c:v>
                </c:pt>
                <c:pt idx="24">
                  <c:v>-320860.74023706681</c:v>
                </c:pt>
                <c:pt idx="25">
                  <c:v>-266758.1596852665</c:v>
                </c:pt>
                <c:pt idx="26">
                  <c:v>-197127.87983580082</c:v>
                </c:pt>
                <c:pt idx="27">
                  <c:v>-115975.78379435938</c:v>
                </c:pt>
              </c:numCache>
            </c:numRef>
          </c:xVal>
          <c:yVal>
            <c:numRef>
              <c:f>Mondbahn!$H$37:$H$64</c:f>
              <c:numCache>
                <c:formatCode>0.0E+00</c:formatCode>
                <c:ptCount val="28"/>
                <c:pt idx="0">
                  <c:v>-358877.7288894385</c:v>
                </c:pt>
                <c:pt idx="1">
                  <c:v>-372298.16277465184</c:v>
                </c:pt>
                <c:pt idx="2">
                  <c:v>-364461.91921246442</c:v>
                </c:pt>
                <c:pt idx="3">
                  <c:v>-336171.69739521097</c:v>
                </c:pt>
                <c:pt idx="4">
                  <c:v>-289750.33547911508</c:v>
                </c:pt>
                <c:pt idx="5">
                  <c:v>-228126.84591914396</c:v>
                </c:pt>
                <c:pt idx="6">
                  <c:v>-154927.68747506023</c:v>
                </c:pt>
                <c:pt idx="7">
                  <c:v>-74329.828349480798</c:v>
                </c:pt>
                <c:pt idx="8">
                  <c:v>9744.316867256488</c:v>
                </c:pt>
                <c:pt idx="9">
                  <c:v>93053.717697757034</c:v>
                </c:pt>
                <c:pt idx="10">
                  <c:v>172014.86127484858</c:v>
                </c:pt>
                <c:pt idx="11">
                  <c:v>243008.9921588187</c:v>
                </c:pt>
                <c:pt idx="12">
                  <c:v>302857.12736602826</c:v>
                </c:pt>
                <c:pt idx="13">
                  <c:v>348716.90325492172</c:v>
                </c:pt>
                <c:pt idx="14">
                  <c:v>378392.4218227769</c:v>
                </c:pt>
                <c:pt idx="15">
                  <c:v>389845.22653913382</c:v>
                </c:pt>
                <c:pt idx="16">
                  <c:v>382093.60853410908</c:v>
                </c:pt>
                <c:pt idx="17">
                  <c:v>354668.75604164053</c:v>
                </c:pt>
                <c:pt idx="18">
                  <c:v>308362.84512411203</c:v>
                </c:pt>
                <c:pt idx="19">
                  <c:v>245098.06855668861</c:v>
                </c:pt>
                <c:pt idx="20">
                  <c:v>167983.99555752336</c:v>
                </c:pt>
                <c:pt idx="21">
                  <c:v>81268.972603726492</c:v>
                </c:pt>
                <c:pt idx="22">
                  <c:v>-10078.240566978127</c:v>
                </c:pt>
                <c:pt idx="23">
                  <c:v>-100467.95672477742</c:v>
                </c:pt>
                <c:pt idx="24">
                  <c:v>-184652.17403139753</c:v>
                </c:pt>
                <c:pt idx="25">
                  <c:v>-257695.35160986095</c:v>
                </c:pt>
                <c:pt idx="26">
                  <c:v>-315593.1066918954</c:v>
                </c:pt>
                <c:pt idx="27">
                  <c:v>-355248.23373703635</c:v>
                </c:pt>
              </c:numCache>
            </c:numRef>
          </c:yVal>
          <c:smooth val="1"/>
        </c:ser>
        <c:ser>
          <c:idx val="3"/>
          <c:order val="5"/>
          <c:tx>
            <c:v>Apsidenlinien</c:v>
          </c:tx>
          <c:spPr>
            <a:ln w="12700">
              <a:solidFill>
                <a:schemeClr val="tx1"/>
              </a:solidFill>
              <a:prstDash val="dashDot"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1100" b="1">
                        <a:solidFill>
                          <a:srgbClr val="C00000"/>
                        </a:solidFill>
                      </a:defRPr>
                    </a:pPr>
                    <a:r>
                      <a:rPr lang="en-US" sz="1100" b="1">
                        <a:solidFill>
                          <a:srgbClr val="C00000"/>
                        </a:solidFill>
                      </a:rPr>
                      <a:t>Apogäum</a:t>
                    </a:r>
                  </a:p>
                  <a:p>
                    <a:pPr>
                      <a:defRPr sz="1100" b="1">
                        <a:solidFill>
                          <a:srgbClr val="C00000"/>
                        </a:solidFill>
                      </a:defRPr>
                    </a:pPr>
                    <a:r>
                      <a:rPr lang="en-US" sz="1100" b="1">
                        <a:solidFill>
                          <a:srgbClr val="C00000"/>
                        </a:solidFill>
                      </a:rPr>
                      <a:t> Jan. 02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6307846387622599E-2"/>
                  <c:y val="-2.7773478442141345E-2"/>
                </c:manualLayout>
              </c:layout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sz="1200" b="1"/>
                      <a:t>Erde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/>
                </a:pPr>
                <a:endParaRPr lang="de-DE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Mondbahn!$H$70:$H$71</c:f>
              <c:numCache>
                <c:formatCode>General</c:formatCode>
                <c:ptCount val="2"/>
                <c:pt idx="0" formatCode="0.0E+00">
                  <c:v>394817.75935975095</c:v>
                </c:pt>
                <c:pt idx="1">
                  <c:v>0</c:v>
                </c:pt>
              </c:numCache>
            </c:numRef>
          </c:xVal>
          <c:yVal>
            <c:numRef>
              <c:f>Mondbahn!$I$70:$I$71</c:f>
              <c:numCache>
                <c:formatCode>General</c:formatCode>
                <c:ptCount val="2"/>
                <c:pt idx="0" formatCode="0.0E+00">
                  <c:v>-92022.263035342636</c:v>
                </c:pt>
                <c:pt idx="1">
                  <c:v>0</c:v>
                </c:pt>
              </c:numCache>
            </c:numRef>
          </c:yVal>
          <c:smooth val="1"/>
        </c:ser>
        <c:ser>
          <c:idx val="2"/>
          <c:order val="6"/>
          <c:tx>
            <c:v>Apsidenlinie 2</c:v>
          </c:tx>
          <c:spPr>
            <a:ln w="12700">
              <a:solidFill>
                <a:schemeClr val="tx1"/>
              </a:solidFill>
              <a:prstDash val="dashDot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2.3599599392181239E-3"/>
                  <c:y val="-1.2121210193078789E-2"/>
                </c:manualLayout>
              </c:layout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sz="1200" b="1"/>
                      <a:t>Apogäum</a:t>
                    </a:r>
                  </a:p>
                  <a:p>
                    <a:pPr>
                      <a:defRPr sz="1200" b="1"/>
                    </a:pPr>
                    <a:r>
                      <a:rPr lang="en-US" sz="1200" b="1"/>
                      <a:t>Jan. 03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dLblPos val="l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Mondbahn!$H$68:$H$69</c:f>
              <c:numCache>
                <c:formatCode>0.0E+00</c:formatCode>
                <c:ptCount val="2"/>
                <c:pt idx="0" formatCode="General">
                  <c:v>0</c:v>
                </c:pt>
                <c:pt idx="1">
                  <c:v>365881.64411540871</c:v>
                </c:pt>
              </c:numCache>
            </c:numRef>
          </c:xVal>
          <c:yVal>
            <c:numRef>
              <c:f>Mondbahn!$I$68:$I$69</c:f>
              <c:numCache>
                <c:formatCode>0.0E+00</c:formatCode>
                <c:ptCount val="2"/>
                <c:pt idx="0" formatCode="General">
                  <c:v>0</c:v>
                </c:pt>
                <c:pt idx="1">
                  <c:v>172014.86127484858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580032"/>
        <c:axId val="127594496"/>
      </c:scatterChart>
      <c:valAx>
        <c:axId val="127580032"/>
        <c:scaling>
          <c:orientation val="minMax"/>
          <c:max val="480000"/>
          <c:min val="-400000"/>
        </c:scaling>
        <c:delete val="0"/>
        <c:axPos val="b"/>
        <c:majorGridlines>
          <c:spPr>
            <a:ln w="3175"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 i="1"/>
                  <a:t>x</a:t>
                </a:r>
                <a:r>
                  <a:rPr lang="en-US" sz="1100"/>
                  <a:t> (km)</a:t>
                </a:r>
              </a:p>
            </c:rich>
          </c:tx>
          <c:layout>
            <c:manualLayout>
              <c:xMode val="edge"/>
              <c:yMode val="edge"/>
              <c:x val="0.91093883823732558"/>
              <c:y val="0.4969689816322306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12700">
            <a:tailEnd type="arrow"/>
          </a:ln>
        </c:spPr>
        <c:crossAx val="127594496"/>
        <c:crossesAt val="0"/>
        <c:crossBetween val="midCat"/>
        <c:majorUnit val="200000"/>
      </c:valAx>
      <c:valAx>
        <c:axId val="127594496"/>
        <c:scaling>
          <c:orientation val="minMax"/>
          <c:max val="430000"/>
          <c:min val="-400000"/>
        </c:scaling>
        <c:delete val="0"/>
        <c:axPos val="l"/>
        <c:majorGridlines>
          <c:spPr>
            <a:ln w="3175"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00"/>
                </a:pPr>
                <a:r>
                  <a:rPr lang="en-US" sz="1100" i="1"/>
                  <a:t>y</a:t>
                </a:r>
                <a:r>
                  <a:rPr lang="en-US" sz="1100"/>
                  <a:t> (km)</a:t>
                </a:r>
              </a:p>
            </c:rich>
          </c:tx>
          <c:layout>
            <c:manualLayout>
              <c:xMode val="edge"/>
              <c:yMode val="edge"/>
              <c:x val="0.489049247133582"/>
              <c:y val="0.123919967562241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12700">
            <a:tailEnd type="arrow"/>
          </a:ln>
        </c:spPr>
        <c:crossAx val="127580032"/>
        <c:crosses val="autoZero"/>
        <c:crossBetween val="midCat"/>
        <c:majorUnit val="200000"/>
      </c:valAx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6"/>
        <c:delete val="1"/>
      </c:legendEntry>
      <c:layout>
        <c:manualLayout>
          <c:xMode val="edge"/>
          <c:yMode val="edge"/>
          <c:x val="7.5467811978048194E-2"/>
          <c:y val="0.91866516685414323"/>
          <c:w val="0.84906418515867332"/>
          <c:h val="6.7889454994596268E-2"/>
        </c:manualLayout>
      </c:layout>
      <c:overlay val="0"/>
      <c:spPr>
        <a:solidFill>
          <a:schemeClr val="bg2">
            <a:lumMod val="90000"/>
          </a:schemeClr>
        </a:solidFill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/>
            </a:pPr>
            <a:r>
              <a:rPr lang="en-US" sz="1300" u="sng"/>
              <a:t>Diagramm 6</a:t>
            </a:r>
            <a:r>
              <a:rPr lang="en-US" sz="1300"/>
              <a:t>  </a:t>
            </a:r>
            <a:r>
              <a:rPr lang="en-US" sz="1300" b="1" i="0" u="none" strike="noStrike" baseline="0">
                <a:effectLst/>
              </a:rPr>
              <a:t> </a:t>
            </a:r>
            <a:r>
              <a:rPr lang="en-US" sz="1300"/>
              <a:t>Mondbahnen im geozentrisch-ekliptikalen</a:t>
            </a:r>
            <a:r>
              <a:rPr lang="en-US" sz="1300" baseline="0"/>
              <a:t> System </a:t>
            </a:r>
            <a:r>
              <a:rPr lang="en-US" sz="1300"/>
              <a:t> Mai und Sept. 2008</a:t>
            </a:r>
          </a:p>
        </c:rich>
      </c:tx>
      <c:layout>
        <c:manualLayout>
          <c:xMode val="edge"/>
          <c:yMode val="edge"/>
          <c:x val="0.14662915717765904"/>
          <c:y val="1.179576082401464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876255147005709E-2"/>
          <c:y val="0.13999003065793469"/>
          <c:w val="0.86316644794400699"/>
          <c:h val="0.82030663849945584"/>
        </c:manualLayout>
      </c:layout>
      <c:scatterChart>
        <c:scatterStyle val="lineMarker"/>
        <c:varyColors val="0"/>
        <c:ser>
          <c:idx val="6"/>
          <c:order val="2"/>
          <c:tx>
            <c:v>Erde</c:v>
          </c:tx>
          <c:spPr>
            <a:ln w="9525">
              <a:solidFill>
                <a:schemeClr val="tx1"/>
              </a:solidFill>
            </a:ln>
          </c:spPr>
          <c:marker>
            <c:symbol val="circle"/>
            <c:size val="12"/>
            <c:spPr>
              <a:solidFill>
                <a:schemeClr val="tx2">
                  <a:lumMod val="60000"/>
                  <a:lumOff val="40000"/>
                </a:schemeClr>
              </a:solidFill>
              <a:ln w="9525"/>
            </c:spPr>
          </c:marker>
          <c:dPt>
            <c:idx val="0"/>
            <c:marker>
              <c:spPr>
                <a:solidFill>
                  <a:schemeClr val="tx2">
                    <a:lumMod val="60000"/>
                    <a:lumOff val="40000"/>
                  </a:schemeClr>
                </a:solidFill>
                <a:ln w="9525">
                  <a:solidFill>
                    <a:schemeClr val="tx1"/>
                  </a:solidFill>
                </a:ln>
              </c:spPr>
            </c:marker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200" b="1"/>
                      <a:t>Erde</a:t>
                    </a:r>
                  </a:p>
                </c:rich>
              </c:tx>
              <c:numFmt formatCode="0.0E+00" sourceLinked="0"/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E+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Mondbahn!$Q$76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Mondbahn!$R$76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7"/>
          <c:order val="3"/>
          <c:tx>
            <c:v>Perig. Maii</c:v>
          </c:tx>
          <c:spPr>
            <a:ln w="25400">
              <a:noFill/>
            </a:ln>
          </c:spPr>
          <c:marker>
            <c:symbol val="diamond"/>
            <c:size val="11"/>
            <c:spPr>
              <a:solidFill>
                <a:srgbClr val="C00000"/>
              </a:solidFill>
            </c:spPr>
          </c:marker>
          <c:dLbls>
            <c:dLbl>
              <c:idx val="0"/>
              <c:layout>
                <c:manualLayout>
                  <c:x val="-0.13190655300318865"/>
                  <c:y val="2.1209749695922157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rgbClr val="C00000"/>
                        </a:solidFill>
                      </a:rPr>
                      <a:t>Perig.  Mai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Mondbahn!$R$7</c:f>
              <c:numCache>
                <c:formatCode>0.0E+00</c:formatCode>
                <c:ptCount val="1"/>
                <c:pt idx="0">
                  <c:v>216325.56329775776</c:v>
                </c:pt>
              </c:numCache>
            </c:numRef>
          </c:xVal>
          <c:yVal>
            <c:numRef>
              <c:f>Mondbahn!$S$7</c:f>
              <c:numCache>
                <c:formatCode>0.0E+00</c:formatCode>
                <c:ptCount val="1"/>
                <c:pt idx="0">
                  <c:v>284998.4046690574</c:v>
                </c:pt>
              </c:numCache>
            </c:numRef>
          </c:yVal>
          <c:smooth val="0"/>
        </c:ser>
        <c:ser>
          <c:idx val="8"/>
          <c:order val="4"/>
          <c:tx>
            <c:v>Apog. Mai</c:v>
          </c:tx>
          <c:spPr>
            <a:ln w="25400">
              <a:noFill/>
            </a:ln>
          </c:spPr>
          <c:marker>
            <c:symbol val="diamond"/>
            <c:size val="11"/>
            <c:spPr>
              <a:solidFill>
                <a:srgbClr val="C00000"/>
              </a:solidFill>
            </c:spPr>
          </c:marker>
          <c:dLbls>
            <c:dLbl>
              <c:idx val="0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Mondbahn!$R$21</c:f>
              <c:numCache>
                <c:formatCode>0.0E+00</c:formatCode>
                <c:ptCount val="1"/>
                <c:pt idx="0">
                  <c:v>-212895.47359564301</c:v>
                </c:pt>
              </c:numCache>
            </c:numRef>
          </c:xVal>
          <c:yVal>
            <c:numRef>
              <c:f>Mondbahn!$S$21</c:f>
              <c:numCache>
                <c:formatCode>0.0E+00</c:formatCode>
                <c:ptCount val="1"/>
                <c:pt idx="0">
                  <c:v>-346056.65334232029</c:v>
                </c:pt>
              </c:numCache>
            </c:numRef>
          </c:yVal>
          <c:smooth val="0"/>
        </c:ser>
        <c:ser>
          <c:idx val="2"/>
          <c:order val="5"/>
          <c:tx>
            <c:v>Perig. Sept.</c:v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chemeClr val="tx1">
                  <a:lumMod val="75000"/>
                  <a:lumOff val="25000"/>
                </a:schemeClr>
              </a:solidFill>
            </c:spPr>
          </c:marker>
          <c:dLbls>
            <c:dLbl>
              <c:idx val="0"/>
              <c:layout>
                <c:manualLayout>
                  <c:x val="-3.2621938786577299E-2"/>
                  <c:y val="-2.5274950387299149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Perig. Sept.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Mondbahn!$R$69</c:f>
              <c:numCache>
                <c:formatCode>0.0E+00</c:formatCode>
                <c:ptCount val="1"/>
                <c:pt idx="0">
                  <c:v>195540.20850205261</c:v>
                </c:pt>
              </c:numCache>
            </c:numRef>
          </c:xVal>
          <c:yVal>
            <c:numRef>
              <c:f>Mondbahn!$S$69</c:f>
              <c:numCache>
                <c:formatCode>0.0E+00</c:formatCode>
                <c:ptCount val="1"/>
                <c:pt idx="0">
                  <c:v>312929.74748172116</c:v>
                </c:pt>
              </c:numCache>
            </c:numRef>
          </c:yVal>
          <c:smooth val="0"/>
        </c:ser>
        <c:ser>
          <c:idx val="3"/>
          <c:order val="6"/>
          <c:tx>
            <c:v>Apog. Sept.</c:v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chemeClr val="tx2">
                  <a:lumMod val="75000"/>
                </a:schemeClr>
              </a:solidFill>
            </c:spPr>
          </c:marker>
          <c:dLbls>
            <c:dLbl>
              <c:idx val="0"/>
              <c:layout>
                <c:manualLayout>
                  <c:x val="-0.1019899785254116"/>
                  <c:y val="2.9756737724857565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Apog.</a:t>
                    </a:r>
                    <a:r>
                      <a:rPr lang="en-US" sz="1200" b="1" baseline="0"/>
                      <a:t> Sept</a:t>
                    </a:r>
                    <a:r>
                      <a:rPr lang="en-US" sz="1200" baseline="0"/>
                      <a:t>.</a:t>
                    </a:r>
                    <a:endParaRPr lang="en-US" sz="12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Mondbahn!$R$56</c:f>
              <c:numCache>
                <c:formatCode>0.0E+00</c:formatCode>
                <c:ptCount val="1"/>
                <c:pt idx="0">
                  <c:v>-151341.06374002856</c:v>
                </c:pt>
              </c:numCache>
            </c:numRef>
          </c:xVal>
          <c:yVal>
            <c:numRef>
              <c:f>Mondbahn!$S$56</c:f>
              <c:numCache>
                <c:formatCode>0.0E+00</c:formatCode>
                <c:ptCount val="1"/>
                <c:pt idx="0">
                  <c:v>-374582.27724498208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28187776"/>
        <c:axId val="128189952"/>
      </c:scatterChart>
      <c:scatterChart>
        <c:scatterStyle val="smoothMarker"/>
        <c:varyColors val="0"/>
        <c:ser>
          <c:idx val="0"/>
          <c:order val="0"/>
          <c:tx>
            <c:v>Mai 08 - große Exzentrizität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15"/>
              <c:layout>
                <c:manualLayout>
                  <c:x val="-2.7363224225070999E-2"/>
                  <c:y val="-2.5066577043723195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rgbClr val="C00000"/>
                        </a:solidFill>
                      </a:rPr>
                      <a:t>Apog.</a:t>
                    </a:r>
                    <a:r>
                      <a:rPr lang="en-US" sz="1200" b="1" baseline="0">
                        <a:solidFill>
                          <a:srgbClr val="C00000"/>
                        </a:solidFill>
                      </a:rPr>
                      <a:t> Mai</a:t>
                    </a:r>
                    <a:endParaRPr lang="en-US" sz="1200" b="1">
                      <a:solidFill>
                        <a:srgbClr val="C00000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Mondbahn!$R$6:$R$34</c:f>
              <c:numCache>
                <c:formatCode>0.0E+00</c:formatCode>
                <c:ptCount val="29"/>
                <c:pt idx="0">
                  <c:v>284431.98196451348</c:v>
                </c:pt>
                <c:pt idx="1">
                  <c:v>216325.56329775776</c:v>
                </c:pt>
                <c:pt idx="2">
                  <c:v>133716.1200534275</c:v>
                </c:pt>
                <c:pt idx="3">
                  <c:v>42731.99216181619</c:v>
                </c:pt>
                <c:pt idx="4">
                  <c:v>-50153.514848954823</c:v>
                </c:pt>
                <c:pt idx="5">
                  <c:v>-140322.88779382606</c:v>
                </c:pt>
                <c:pt idx="6">
                  <c:v>-221654.30705775804</c:v>
                </c:pt>
                <c:pt idx="7">
                  <c:v>-290576.63361405715</c:v>
                </c:pt>
                <c:pt idx="8">
                  <c:v>-343670.48663975735</c:v>
                </c:pt>
                <c:pt idx="9">
                  <c:v>-379103.44926574623</c:v>
                </c:pt>
                <c:pt idx="10">
                  <c:v>-395382.50542655913</c:v>
                </c:pt>
                <c:pt idx="11">
                  <c:v>-392766.90714306978</c:v>
                </c:pt>
                <c:pt idx="12">
                  <c:v>-371399.5720695373</c:v>
                </c:pt>
                <c:pt idx="13">
                  <c:v>-333029.39282215649</c:v>
                </c:pt>
                <c:pt idx="14">
                  <c:v>-279127.78044381726</c:v>
                </c:pt>
                <c:pt idx="15">
                  <c:v>-212895.47359564301</c:v>
                </c:pt>
                <c:pt idx="16">
                  <c:v>-137629.21699566187</c:v>
                </c:pt>
                <c:pt idx="17">
                  <c:v>-55761.252327270238</c:v>
                </c:pt>
                <c:pt idx="18">
                  <c:v>28209.517982124238</c:v>
                </c:pt>
                <c:pt idx="19">
                  <c:v>110861.34450959715</c:v>
                </c:pt>
                <c:pt idx="20">
                  <c:v>187413.04786412747</c:v>
                </c:pt>
                <c:pt idx="21">
                  <c:v>255740.67881843584</c:v>
                </c:pt>
                <c:pt idx="22">
                  <c:v>311283.89196385595</c:v>
                </c:pt>
                <c:pt idx="23">
                  <c:v>350977.48287470074</c:v>
                </c:pt>
                <c:pt idx="24">
                  <c:v>372370.57697055314</c:v>
                </c:pt>
                <c:pt idx="25">
                  <c:v>373372.2016079434</c:v>
                </c:pt>
                <c:pt idx="26">
                  <c:v>352941.54440498189</c:v>
                </c:pt>
                <c:pt idx="27">
                  <c:v>311323.16361500719</c:v>
                </c:pt>
                <c:pt idx="28">
                  <c:v>249729.6841800095</c:v>
                </c:pt>
              </c:numCache>
            </c:numRef>
          </c:xVal>
          <c:yVal>
            <c:numRef>
              <c:f>Mondbahn!$S$6:$S$34</c:f>
              <c:numCache>
                <c:formatCode>0.0E+00</c:formatCode>
                <c:ptCount val="29"/>
                <c:pt idx="0">
                  <c:v>219042.11384055507</c:v>
                </c:pt>
                <c:pt idx="1">
                  <c:v>284998.4046690574</c:v>
                </c:pt>
                <c:pt idx="2">
                  <c:v>332629.29702276282</c:v>
                </c:pt>
                <c:pt idx="3">
                  <c:v>358361.25187564921</c:v>
                </c:pt>
                <c:pt idx="4">
                  <c:v>361436.90313565888</c:v>
                </c:pt>
                <c:pt idx="5">
                  <c:v>342142.55385906226</c:v>
                </c:pt>
                <c:pt idx="6">
                  <c:v>302852.20514756883</c:v>
                </c:pt>
                <c:pt idx="7">
                  <c:v>246426.90599348518</c:v>
                </c:pt>
                <c:pt idx="8">
                  <c:v>176622.63901547939</c:v>
                </c:pt>
                <c:pt idx="9">
                  <c:v>97337.221836324185</c:v>
                </c:pt>
                <c:pt idx="10">
                  <c:v>13116.188570501106</c:v>
                </c:pt>
                <c:pt idx="11">
                  <c:v>-71377.844274446848</c:v>
                </c:pt>
                <c:pt idx="12">
                  <c:v>-153838.73981076604</c:v>
                </c:pt>
                <c:pt idx="13">
                  <c:v>-228884.76034132499</c:v>
                </c:pt>
                <c:pt idx="14">
                  <c:v>-294139.30744548264</c:v>
                </c:pt>
                <c:pt idx="15">
                  <c:v>-346056.65334232029</c:v>
                </c:pt>
                <c:pt idx="16">
                  <c:v>-382279.85642610182</c:v>
                </c:pt>
                <c:pt idx="17">
                  <c:v>-401849.6892357819</c:v>
                </c:pt>
                <c:pt idx="18">
                  <c:v>-403414.90192507295</c:v>
                </c:pt>
                <c:pt idx="19">
                  <c:v>-386619.45410639182</c:v>
                </c:pt>
                <c:pt idx="20">
                  <c:v>-352472.67906928371</c:v>
                </c:pt>
                <c:pt idx="21">
                  <c:v>-301559.05756167503</c:v>
                </c:pt>
                <c:pt idx="22">
                  <c:v>-236277.33408821604</c:v>
                </c:pt>
                <c:pt idx="23">
                  <c:v>-159210.44725437823</c:v>
                </c:pt>
                <c:pt idx="24">
                  <c:v>-73731.359723101225</c:v>
                </c:pt>
                <c:pt idx="25">
                  <c:v>15648.9317986019</c:v>
                </c:pt>
                <c:pt idx="26">
                  <c:v>104546.04838551393</c:v>
                </c:pt>
                <c:pt idx="27">
                  <c:v>187061.82880733168</c:v>
                </c:pt>
                <c:pt idx="28">
                  <c:v>258602.65822174508</c:v>
                </c:pt>
              </c:numCache>
            </c:numRef>
          </c:yVal>
          <c:smooth val="1"/>
        </c:ser>
        <c:ser>
          <c:idx val="1"/>
          <c:order val="1"/>
          <c:tx>
            <c:v>September 08 -  kleine Exzentrizit</c:v>
          </c:tx>
          <c:spPr>
            <a:ln w="19050">
              <a:solidFill>
                <a:schemeClr val="tx2"/>
              </a:solidFill>
              <a:prstDash val="dash"/>
            </a:ln>
          </c:spPr>
          <c:marker>
            <c:symbol val="none"/>
          </c:marker>
          <c:dPt>
            <c:idx val="14"/>
            <c:bubble3D val="0"/>
          </c:dPt>
          <c:dLbls>
            <c:delete val="1"/>
          </c:dLbls>
          <c:xVal>
            <c:numRef>
              <c:f>Mondbahn!$R$42:$R$71</c:f>
              <c:numCache>
                <c:formatCode>0.0E+00</c:formatCode>
                <c:ptCount val="30"/>
                <c:pt idx="0">
                  <c:v>179379.55949114473</c:v>
                </c:pt>
                <c:pt idx="1">
                  <c:v>95504.227642830156</c:v>
                </c:pt>
                <c:pt idx="2">
                  <c:v>2.2542731570318608E-11</c:v>
                </c:pt>
                <c:pt idx="3">
                  <c:v>-89269.179476277408</c:v>
                </c:pt>
                <c:pt idx="4">
                  <c:v>-173704.47823077964</c:v>
                </c:pt>
                <c:pt idx="5">
                  <c:v>-248916.58556549528</c:v>
                </c:pt>
                <c:pt idx="6">
                  <c:v>-310889.08970814059</c:v>
                </c:pt>
                <c:pt idx="7">
                  <c:v>-356143.50327785924</c:v>
                </c:pt>
                <c:pt idx="8">
                  <c:v>-380901.88592604868</c:v>
                </c:pt>
                <c:pt idx="9">
                  <c:v>-385107.90683683299</c:v>
                </c:pt>
                <c:pt idx="10">
                  <c:v>-368359.50734807609</c:v>
                </c:pt>
                <c:pt idx="11">
                  <c:v>-335827.04607794475</c:v>
                </c:pt>
                <c:pt idx="12">
                  <c:v>-287735.92013546044</c:v>
                </c:pt>
                <c:pt idx="13">
                  <c:v>-225354.74009871087</c:v>
                </c:pt>
                <c:pt idx="14">
                  <c:v>-151341.06374002856</c:v>
                </c:pt>
                <c:pt idx="15">
                  <c:v>-70153.863777439852</c:v>
                </c:pt>
                <c:pt idx="16">
                  <c:v>14064.497171108016</c:v>
                </c:pt>
                <c:pt idx="17">
                  <c:v>97010.680135466653</c:v>
                </c:pt>
                <c:pt idx="18">
                  <c:v>174033.34527526374</c:v>
                </c:pt>
                <c:pt idx="19">
                  <c:v>241954.95980298379</c:v>
                </c:pt>
                <c:pt idx="20">
                  <c:v>302309.77900676156</c:v>
                </c:pt>
                <c:pt idx="21">
                  <c:v>345136.91377888003</c:v>
                </c:pt>
                <c:pt idx="22">
                  <c:v>371696.08827884612</c:v>
                </c:pt>
                <c:pt idx="23">
                  <c:v>375895.63376196823</c:v>
                </c:pt>
                <c:pt idx="24">
                  <c:v>359779.91708475869</c:v>
                </c:pt>
                <c:pt idx="25">
                  <c:v>323220.32392559032</c:v>
                </c:pt>
                <c:pt idx="26">
                  <c:v>266774.87684063066</c:v>
                </c:pt>
                <c:pt idx="27">
                  <c:v>195540.20850205261</c:v>
                </c:pt>
              </c:numCache>
            </c:numRef>
          </c:xVal>
          <c:yVal>
            <c:numRef>
              <c:f>Mondbahn!$S$42:$S$71</c:f>
              <c:numCache>
                <c:formatCode>0.0E+00</c:formatCode>
                <c:ptCount val="30"/>
                <c:pt idx="0">
                  <c:v>323609.29164157645</c:v>
                </c:pt>
                <c:pt idx="1">
                  <c:v>356426.62990066619</c:v>
                </c:pt>
                <c:pt idx="2">
                  <c:v>368000</c:v>
                </c:pt>
                <c:pt idx="3">
                  <c:v>358039.12299584271</c:v>
                </c:pt>
                <c:pt idx="4">
                  <c:v>326690.60935780295</c:v>
                </c:pt>
                <c:pt idx="5">
                  <c:v>276449.87507759064</c:v>
                </c:pt>
                <c:pt idx="6">
                  <c:v>209697.3388015301</c:v>
                </c:pt>
                <c:pt idx="7">
                  <c:v>129625.63432042851</c:v>
                </c:pt>
                <c:pt idx="8">
                  <c:v>40034.401431511382</c:v>
                </c:pt>
                <c:pt idx="9">
                  <c:v>-47285.305241197158</c:v>
                </c:pt>
                <c:pt idx="10">
                  <c:v>-134071.89618366212</c:v>
                </c:pt>
                <c:pt idx="11">
                  <c:v>-209848.0286363491</c:v>
                </c:pt>
                <c:pt idx="12">
                  <c:v>-277863.34818359895</c:v>
                </c:pt>
                <c:pt idx="13">
                  <c:v>-334102.14173968189</c:v>
                </c:pt>
                <c:pt idx="14">
                  <c:v>-374582.27724498208</c:v>
                </c:pt>
                <c:pt idx="15">
                  <c:v>-397862.33221693203</c:v>
                </c:pt>
                <c:pt idx="16">
                  <c:v>-402754.50328869559</c:v>
                </c:pt>
                <c:pt idx="17">
                  <c:v>-389088.58623667463</c:v>
                </c:pt>
                <c:pt idx="18">
                  <c:v>-356821.23638076929</c:v>
                </c:pt>
                <c:pt idx="19">
                  <c:v>-309688.22616744164</c:v>
                </c:pt>
                <c:pt idx="20">
                  <c:v>-244805.63211838691</c:v>
                </c:pt>
                <c:pt idx="21">
                  <c:v>-168334.52036700587</c:v>
                </c:pt>
                <c:pt idx="22">
                  <c:v>-79006.442510748748</c:v>
                </c:pt>
                <c:pt idx="23">
                  <c:v>8858.4715774374181</c:v>
                </c:pt>
                <c:pt idx="24">
                  <c:v>98424.647637084097</c:v>
                </c:pt>
                <c:pt idx="25">
                  <c:v>182125.29259121724</c:v>
                </c:pt>
                <c:pt idx="26">
                  <c:v>254935.60968736076</c:v>
                </c:pt>
                <c:pt idx="27">
                  <c:v>312929.74748172116</c:v>
                </c:pt>
              </c:numCache>
            </c:numRef>
          </c:y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28187776"/>
        <c:axId val="128189952"/>
      </c:scatterChart>
      <c:valAx>
        <c:axId val="128187776"/>
        <c:scaling>
          <c:orientation val="minMax"/>
          <c:max val="480000"/>
          <c:min val="-400000"/>
        </c:scaling>
        <c:delete val="0"/>
        <c:axPos val="b"/>
        <c:majorGridlines>
          <c:spPr>
            <a:ln w="3175"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 i="1"/>
                  <a:t>x</a:t>
                </a:r>
                <a:r>
                  <a:rPr lang="en-US" sz="1100"/>
                  <a:t> (km)</a:t>
                </a:r>
              </a:p>
            </c:rich>
          </c:tx>
          <c:layout>
            <c:manualLayout>
              <c:xMode val="edge"/>
              <c:yMode val="edge"/>
              <c:x val="0.89951137759156252"/>
              <c:y val="0.448484174772271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12700">
            <a:tailEnd type="arrow"/>
          </a:ln>
        </c:spPr>
        <c:txPr>
          <a:bodyPr/>
          <a:lstStyle/>
          <a:p>
            <a:pPr>
              <a:defRPr sz="1000"/>
            </a:pPr>
            <a:endParaRPr lang="de-DE"/>
          </a:p>
        </c:txPr>
        <c:crossAx val="128189952"/>
        <c:crossesAt val="0"/>
        <c:crossBetween val="midCat"/>
        <c:majorUnit val="200000"/>
      </c:valAx>
      <c:valAx>
        <c:axId val="128189952"/>
        <c:scaling>
          <c:orientation val="minMax"/>
          <c:max val="430000"/>
          <c:min val="-600000"/>
        </c:scaling>
        <c:delete val="0"/>
        <c:axPos val="l"/>
        <c:majorGridlines>
          <c:spPr>
            <a:ln w="3175"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00"/>
                </a:pPr>
                <a:r>
                  <a:rPr lang="en-US" sz="1100" i="1"/>
                  <a:t>y</a:t>
                </a:r>
                <a:r>
                  <a:rPr lang="en-US" sz="1100"/>
                  <a:t> (km)</a:t>
                </a:r>
              </a:p>
            </c:rich>
          </c:tx>
          <c:layout>
            <c:manualLayout>
              <c:xMode val="edge"/>
              <c:yMode val="edge"/>
              <c:x val="0.4932068284852823"/>
              <c:y val="0.1202664135068222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12700">
            <a:tailEnd type="arrow"/>
          </a:ln>
        </c:spPr>
        <c:txPr>
          <a:bodyPr/>
          <a:lstStyle/>
          <a:p>
            <a:pPr>
              <a:defRPr sz="1000"/>
            </a:pPr>
            <a:endParaRPr lang="de-DE"/>
          </a:p>
        </c:txPr>
        <c:crossAx val="128187776"/>
        <c:crosses val="autoZero"/>
        <c:crossBetween val="midCat"/>
        <c:majorUnit val="200000"/>
      </c:val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1.491629248823236E-2"/>
          <c:y val="0.90235596312656041"/>
          <c:w val="0.96683933988770887"/>
          <c:h val="6.6114382760978405E-2"/>
        </c:manualLayout>
      </c:layout>
      <c:overlay val="0"/>
      <c:spPr>
        <a:solidFill>
          <a:schemeClr val="bg2"/>
        </a:solidFill>
        <a:ln>
          <a:noFill/>
          <a:prstDash val="dash"/>
        </a:ln>
      </c:spPr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 u="sng"/>
              <a:t>Diagramm 4</a:t>
            </a:r>
            <a:r>
              <a:rPr lang="en-US" sz="1200"/>
              <a:t>  Entstehung einer Rosettenbahn  </a:t>
            </a:r>
          </a:p>
          <a:p>
            <a:pPr>
              <a:defRPr sz="1200"/>
            </a:pPr>
            <a:r>
              <a:rPr lang="de-DE" sz="1200" i="1">
                <a:latin typeface="Calibri"/>
                <a:cs typeface="Calibri"/>
              </a:rPr>
              <a:t>a</a:t>
            </a:r>
            <a:r>
              <a:rPr lang="de-DE" sz="1200">
                <a:latin typeface="Calibri"/>
                <a:cs typeface="Calibri"/>
              </a:rPr>
              <a:t> = 1,</a:t>
            </a:r>
            <a:r>
              <a:rPr lang="de-DE" sz="1200" baseline="0">
                <a:latin typeface="Calibri"/>
                <a:cs typeface="Calibri"/>
              </a:rPr>
              <a:t>  </a:t>
            </a:r>
            <a:r>
              <a:rPr lang="de-DE" sz="1200" i="1" baseline="0">
                <a:latin typeface="Calibri"/>
                <a:cs typeface="Calibri"/>
              </a:rPr>
              <a:t>e</a:t>
            </a:r>
            <a:r>
              <a:rPr lang="de-DE" sz="1200" baseline="0">
                <a:latin typeface="Calibri"/>
                <a:cs typeface="Calibri"/>
              </a:rPr>
              <a:t> = 0,65,  </a:t>
            </a:r>
            <a:r>
              <a:rPr lang="de-DE" sz="1200" i="1">
                <a:latin typeface="Calibri"/>
                <a:cs typeface="Calibri"/>
              </a:rPr>
              <a:t>f</a:t>
            </a:r>
            <a:r>
              <a:rPr lang="de-DE" sz="1200">
                <a:latin typeface="Calibri"/>
                <a:cs typeface="Calibri"/>
              </a:rPr>
              <a:t> = 0,88 </a:t>
            </a:r>
            <a:r>
              <a:rPr lang="en-US" sz="1200"/>
              <a:t>(</a:t>
            </a:r>
            <a:r>
              <a:rPr lang="en-US" sz="1200" i="1"/>
              <a:t>B</a:t>
            </a:r>
            <a:r>
              <a:rPr lang="en-US" sz="1200"/>
              <a:t> positiv)</a:t>
            </a:r>
          </a:p>
        </c:rich>
      </c:tx>
      <c:layout>
        <c:manualLayout>
          <c:xMode val="edge"/>
          <c:yMode val="edge"/>
          <c:x val="8.3977611826577703E-2"/>
          <c:y val="9.162516469728900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109266943291843E-2"/>
          <c:y val="0.10858084982830059"/>
          <c:w val="0.88705737565662257"/>
          <c:h val="0.66353826534395066"/>
        </c:manualLayout>
      </c:layout>
      <c:scatterChart>
        <c:scatterStyle val="smoothMarker"/>
        <c:varyColors val="0"/>
        <c:ser>
          <c:idx val="2"/>
          <c:order val="0"/>
          <c:tx>
            <c:v>Ungestörte Keplerbahn</c:v>
          </c:tx>
          <c:spPr>
            <a:ln w="19050"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Rosettenbahn!$J$3:$J$66</c:f>
              <c:numCache>
                <c:formatCode>0.000</c:formatCode>
                <c:ptCount val="64"/>
                <c:pt idx="0">
                  <c:v>0.35</c:v>
                </c:pt>
                <c:pt idx="1">
                  <c:v>0.3489381877771926</c:v>
                </c:pt>
                <c:pt idx="2">
                  <c:v>0.34573823254426672</c:v>
                </c:pt>
                <c:pt idx="3">
                  <c:v>0.34035624276205362</c:v>
                </c:pt>
                <c:pt idx="4">
                  <c:v>0.33271793892807278</c:v>
                </c:pt>
                <c:pt idx="5">
                  <c:v>0.32271693755530828</c:v>
                </c:pt>
                <c:pt idx="6">
                  <c:v>0.31021229936078043</c:v>
                </c:pt>
                <c:pt idx="7">
                  <c:v>0.29502529727162569</c:v>
                </c:pt>
                <c:pt idx="8">
                  <c:v>0.27693535618623155</c:v>
                </c:pt>
                <c:pt idx="9">
                  <c:v>0.25567512325935776</c:v>
                </c:pt>
                <c:pt idx="10">
                  <c:v>0.23092465227127226</c:v>
                </c:pt>
                <c:pt idx="11">
                  <c:v>0.20230474046860286</c:v>
                </c:pt>
                <c:pt idx="12">
                  <c:v>0.16936956038475923</c:v>
                </c:pt>
                <c:pt idx="13">
                  <c:v>0.13159891277122707</c:v>
                </c:pt>
                <c:pt idx="14">
                  <c:v>8.8390736421429902E-2</c:v>
                </c:pt>
                <c:pt idx="15">
                  <c:v>3.9055016296559934E-2</c:v>
                </c:pt>
                <c:pt idx="16">
                  <c:v>-1.71889653541713E-2</c:v>
                </c:pt>
                <c:pt idx="17">
                  <c:v>-8.1208848955021118E-2</c:v>
                </c:pt>
                <c:pt idx="18">
                  <c:v>-0.15394384654540585</c:v>
                </c:pt>
                <c:pt idx="19">
                  <c:v>-0.23637012098492155</c:v>
                </c:pt>
                <c:pt idx="20">
                  <c:v>-0.32943563689748218</c:v>
                </c:pt>
                <c:pt idx="21">
                  <c:v>-0.43394896407780231</c:v>
                </c:pt>
                <c:pt idx="22">
                  <c:v>-0.5504025182008403</c:v>
                </c:pt>
                <c:pt idx="23">
                  <c:v>-0.67870952594936851</c:v>
                </c:pt>
                <c:pt idx="24">
                  <c:v>-0.81784080725313757</c:v>
                </c:pt>
                <c:pt idx="25">
                  <c:v>-0.9653709303359862</c:v>
                </c:pt>
                <c:pt idx="26">
                  <c:v>-1.1169939832693612</c:v>
                </c:pt>
                <c:pt idx="27">
                  <c:v>-1.2661518787648869</c:v>
                </c:pt>
                <c:pt idx="28">
                  <c:v>-1.4040142168816405</c:v>
                </c:pt>
                <c:pt idx="29">
                  <c:v>-1.5200949029714539</c:v>
                </c:pt>
                <c:pt idx="30">
                  <c:v>-1.6036825954850777</c:v>
                </c:pt>
                <c:pt idx="31">
                  <c:v>-1.6459293892976312</c:v>
                </c:pt>
                <c:pt idx="32">
                  <c:v>-1.6419864635171129</c:v>
                </c:pt>
                <c:pt idx="33">
                  <c:v>-1.5923172882425463</c:v>
                </c:pt>
                <c:pt idx="34">
                  <c:v>-1.502567928744146</c:v>
                </c:pt>
                <c:pt idx="35">
                  <c:v>-1.3820582134428676</c:v>
                </c:pt>
                <c:pt idx="36">
                  <c:v>-1.2415949599297704</c:v>
                </c:pt>
                <c:pt idx="37">
                  <c:v>-1.0914633153414488</c:v>
                </c:pt>
                <c:pt idx="38">
                  <c:v>-0.94013403889507907</c:v>
                </c:pt>
                <c:pt idx="39">
                  <c:v>-0.79377197104158936</c:v>
                </c:pt>
                <c:pt idx="40">
                  <c:v>-0.65633528147194242</c:v>
                </c:pt>
                <c:pt idx="41">
                  <c:v>-0.52998032886983437</c:v>
                </c:pt>
                <c:pt idx="42">
                  <c:v>-0.41554816406938189</c:v>
                </c:pt>
                <c:pt idx="43">
                  <c:v>-0.31300556260191298</c:v>
                </c:pt>
                <c:pt idx="44">
                  <c:v>-0.2217911429333029</c:v>
                </c:pt>
                <c:pt idx="45">
                  <c:v>-0.14106258432203278</c:v>
                </c:pt>
                <c:pt idx="46">
                  <c:v>-6.986088275248746E-2</c:v>
                </c:pt>
                <c:pt idx="47">
                  <c:v>-7.212533018603415E-3</c:v>
                </c:pt>
                <c:pt idx="48">
                  <c:v>4.7811420015008529E-2</c:v>
                </c:pt>
                <c:pt idx="49">
                  <c:v>9.6064680121770052E-2</c:v>
                </c:pt>
                <c:pt idx="50">
                  <c:v>0.1383127492337205</c:v>
                </c:pt>
                <c:pt idx="51">
                  <c:v>0.1752305382663526</c:v>
                </c:pt>
                <c:pt idx="52">
                  <c:v>0.20740586048903359</c:v>
                </c:pt>
                <c:pt idx="53">
                  <c:v>0.23534586805087607</c:v>
                </c:pt>
                <c:pt idx="54">
                  <c:v>0.25948464834017682</c:v>
                </c:pt>
                <c:pt idx="55">
                  <c:v>0.28019094138147771</c:v>
                </c:pt>
                <c:pt idx="56">
                  <c:v>0.29777540600673458</c:v>
                </c:pt>
                <c:pt idx="57">
                  <c:v>0.31249714684265367</c:v>
                </c:pt>
                <c:pt idx="58">
                  <c:v>0.32456938168134575</c:v>
                </c:pt>
                <c:pt idx="59">
                  <c:v>0.33416422287611769</c:v>
                </c:pt>
                <c:pt idx="60">
                  <c:v>0.34141659506967725</c:v>
                </c:pt>
                <c:pt idx="61">
                  <c:v>0.34642733264085196</c:v>
                </c:pt>
                <c:pt idx="62">
                  <c:v>0.3492655048968506</c:v>
                </c:pt>
                <c:pt idx="63">
                  <c:v>0.34997001210831347</c:v>
                </c:pt>
              </c:numCache>
            </c:numRef>
          </c:xVal>
          <c:yVal>
            <c:numRef>
              <c:f>Rosettenbahn!$K$3:$K$66</c:f>
              <c:numCache>
                <c:formatCode>0.000</c:formatCode>
                <c:ptCount val="64"/>
                <c:pt idx="0">
                  <c:v>0</c:v>
                </c:pt>
                <c:pt idx="1">
                  <c:v>3.5010598648715988E-2</c:v>
                </c:pt>
                <c:pt idx="2">
                  <c:v>7.0084609395753977E-2</c:v>
                </c:pt>
                <c:pt idx="3">
                  <c:v>0.10528452366723615</c:v>
                </c:pt>
                <c:pt idx="4">
                  <c:v>0.14067088833132704</c:v>
                </c:pt>
                <c:pt idx="5">
                  <c:v>0.17630106650122798</c:v>
                </c:pt>
                <c:pt idx="6">
                  <c:v>0.21222765239302191</c:v>
                </c:pt>
                <c:pt idx="7">
                  <c:v>0.24849637983455614</c:v>
                </c:pt>
                <c:pt idx="8">
                  <c:v>0.28514332053982</c:v>
                </c:pt>
                <c:pt idx="9">
                  <c:v>0.32219110759847547</c:v>
                </c:pt>
                <c:pt idx="10">
                  <c:v>0.35964383726052657</c:v>
                </c:pt>
                <c:pt idx="11">
                  <c:v>0.39748019254286954</c:v>
                </c:pt>
                <c:pt idx="12">
                  <c:v>0.43564418948247985</c:v>
                </c:pt>
                <c:pt idx="13">
                  <c:v>0.47403276584316151</c:v>
                </c:pt>
                <c:pt idx="14">
                  <c:v>0.51247921129734919</c:v>
                </c:pt>
                <c:pt idx="15">
                  <c:v>0.55073118584142866</c:v>
                </c:pt>
                <c:pt idx="16">
                  <c:v>0.58842181917702507</c:v>
                </c:pt>
                <c:pt idx="17">
                  <c:v>0.62503220061022924</c:v>
                </c:pt>
                <c:pt idx="18">
                  <c:v>0.65984360949239551</c:v>
                </c:pt>
                <c:pt idx="19">
                  <c:v>0.69187839367904702</c:v>
                </c:pt>
                <c:pt idx="20">
                  <c:v>0.71982999899994504</c:v>
                </c:pt>
                <c:pt idx="21">
                  <c:v>0.74198613602542174</c:v>
                </c:pt>
                <c:pt idx="22">
                  <c:v>0.75615567000791983</c:v>
                </c:pt>
                <c:pt idx="23">
                  <c:v>0.75962096021743808</c:v>
                </c:pt>
                <c:pt idx="24">
                  <c:v>0.74915386612191026</c:v>
                </c:pt>
                <c:pt idx="25">
                  <c:v>0.72115361006700973</c:v>
                </c:pt>
                <c:pt idx="26">
                  <c:v>0.67197979717648471</c:v>
                </c:pt>
                <c:pt idx="27">
                  <c:v>0.5985449757328799</c:v>
                </c:pt>
                <c:pt idx="28">
                  <c:v>0.49916893816378544</c:v>
                </c:pt>
                <c:pt idx="29">
                  <c:v>0.37455958344145696</c:v>
                </c:pt>
                <c:pt idx="30">
                  <c:v>0.22859941017478111</c:v>
                </c:pt>
                <c:pt idx="31">
                  <c:v>6.849807486674396E-2</c:v>
                </c:pt>
                <c:pt idx="32">
                  <c:v>-9.6013277492300098E-2</c:v>
                </c:pt>
                <c:pt idx="33">
                  <c:v>-0.25436591572230349</c:v>
                </c:pt>
                <c:pt idx="34">
                  <c:v>-0.39715409826844167</c:v>
                </c:pt>
                <c:pt idx="35">
                  <c:v>-0.51769916061894306</c:v>
                </c:pt>
                <c:pt idx="36">
                  <c:v>-0.6126858048422843</c:v>
                </c:pt>
                <c:pt idx="37">
                  <c:v>-0.68187323348806383</c:v>
                </c:pt>
                <c:pt idx="38">
                  <c:v>-0.72724641167659421</c:v>
                </c:pt>
                <c:pt idx="39">
                  <c:v>-0.75203913179300463</c:v>
                </c:pt>
                <c:pt idx="40">
                  <c:v>-0.75991895724511804</c:v>
                </c:pt>
                <c:pt idx="41">
                  <c:v>-0.75444103371827109</c:v>
                </c:pt>
                <c:pt idx="42">
                  <c:v>-0.73875312141683047</c:v>
                </c:pt>
                <c:pt idx="43">
                  <c:v>-0.715483100877642</c:v>
                </c:pt>
                <c:pt idx="44">
                  <c:v>-0.68673719020187252</c:v>
                </c:pt>
                <c:pt idx="45">
                  <c:v>-0.65415404397439203</c:v>
                </c:pt>
                <c:pt idx="46">
                  <c:v>-0.6189796395514009</c:v>
                </c:pt>
                <c:pt idx="47">
                  <c:v>-0.58214346792558092</c:v>
                </c:pt>
                <c:pt idx="48">
                  <c:v>-0.54432683266655879</c:v>
                </c:pt>
                <c:pt idx="49">
                  <c:v>-0.50602003641229221</c:v>
                </c:pt>
                <c:pt idx="50">
                  <c:v>-0.46756832433981615</c:v>
                </c:pt>
                <c:pt idx="51">
                  <c:v>-0.42920782571679827</c:v>
                </c:pt>
                <c:pt idx="52">
                  <c:v>-0.39109317618114603</c:v>
                </c:pt>
                <c:pt idx="53">
                  <c:v>-0.3533184905178704</c:v>
                </c:pt>
                <c:pt idx="54">
                  <c:v>-0.31593315271647593</c:v>
                </c:pt>
                <c:pt idx="55">
                  <c:v>-0.27895363281419666</c:v>
                </c:pt>
                <c:pt idx="56">
                  <c:v>-0.24237229176715774</c:v>
                </c:pt>
                <c:pt idx="57">
                  <c:v>-0.20616392128511785</c:v>
                </c:pt>
                <c:pt idx="58">
                  <c:v>-0.1702905912463625</c:v>
                </c:pt>
                <c:pt idx="59">
                  <c:v>-0.13470524058903119</c:v>
                </c:pt>
                <c:pt idx="60">
                  <c:v>-9.9354343006777868E-2</c:v>
                </c:pt>
                <c:pt idx="61">
                  <c:v>-6.4179900416733215E-2</c:v>
                </c:pt>
                <c:pt idx="62">
                  <c:v>-2.9120959679796391E-2</c:v>
                </c:pt>
                <c:pt idx="63">
                  <c:v>5.8851929082474799E-3</c:v>
                </c:pt>
              </c:numCache>
            </c:numRef>
          </c:yVal>
          <c:smooth val="1"/>
        </c:ser>
        <c:ser>
          <c:idx val="0"/>
          <c:order val="1"/>
          <c:tx>
            <c:v>Gestörte Bahn, 1. Umlauf</c:v>
          </c:tx>
          <c:spPr>
            <a:ln w="28575"/>
          </c:spPr>
          <c:marker>
            <c:symbol val="none"/>
          </c:marker>
          <c:xVal>
            <c:numRef>
              <c:f>Rosettenbahn!$D$3:$D$66</c:f>
              <c:numCache>
                <c:formatCode>0.000</c:formatCode>
                <c:ptCount val="64"/>
                <c:pt idx="0">
                  <c:v>0.35</c:v>
                </c:pt>
                <c:pt idx="1">
                  <c:v>0.34878312513867166</c:v>
                </c:pt>
                <c:pt idx="2">
                  <c:v>0.34512358634536022</c:v>
                </c:pt>
                <c:pt idx="3">
                  <c:v>0.33899452191889629</c:v>
                </c:pt>
                <c:pt idx="4">
                  <c:v>0.3303507653574192</c:v>
                </c:pt>
                <c:pt idx="5">
                  <c:v>0.31912824985045263</c:v>
                </c:pt>
                <c:pt idx="6">
                  <c:v>0.30524317569568515</c:v>
                </c:pt>
                <c:pt idx="7">
                  <c:v>0.2885909446204975</c:v>
                </c:pt>
                <c:pt idx="8">
                  <c:v>0.26904487069492089</c:v>
                </c:pt>
                <c:pt idx="9">
                  <c:v>0.24645468759327263</c:v>
                </c:pt>
                <c:pt idx="10">
                  <c:v>0.22064488855570674</c:v>
                </c:pt>
                <c:pt idx="11">
                  <c:v>0.1914129616160869</c:v>
                </c:pt>
                <c:pt idx="12">
                  <c:v>0.15852762293410924</c:v>
                </c:pt>
                <c:pt idx="13">
                  <c:v>0.12172721170619295</c:v>
                </c:pt>
                <c:pt idx="14">
                  <c:v>8.0718500011467534E-2</c:v>
                </c:pt>
                <c:pt idx="15">
                  <c:v>3.5176302387058628E-2</c:v>
                </c:pt>
                <c:pt idx="16">
                  <c:v>-1.5255540384271321E-2</c:v>
                </c:pt>
                <c:pt idx="17">
                  <c:v>-7.0960958944925157E-2</c:v>
                </c:pt>
                <c:pt idx="18">
                  <c:v>-0.13234501287773845</c:v>
                </c:pt>
                <c:pt idx="19">
                  <c:v>-0.19982207072680708</c:v>
                </c:pt>
                <c:pt idx="20">
                  <c:v>-0.27379639205233641</c:v>
                </c:pt>
                <c:pt idx="21">
                  <c:v>-0.35463182762105422</c:v>
                </c:pt>
                <c:pt idx="22">
                  <c:v>-0.44260634277102379</c:v>
                </c:pt>
                <c:pt idx="23">
                  <c:v>-0.53784604423128635</c:v>
                </c:pt>
                <c:pt idx="24">
                  <c:v>-0.64023268308336845</c:v>
                </c:pt>
                <c:pt idx="25">
                  <c:v>-0.74927888921276753</c:v>
                </c:pt>
                <c:pt idx="26">
                  <c:v>-0.86396786131339676</c:v>
                </c:pt>
                <c:pt idx="27">
                  <c:v>-0.98256074013581363</c:v>
                </c:pt>
                <c:pt idx="28">
                  <c:v>-1.1023877766547374</c:v>
                </c:pt>
                <c:pt idx="29">
                  <c:v>-1.2196605985467035</c:v>
                </c:pt>
                <c:pt idx="30">
                  <c:v>-1.3293715720907249</c:v>
                </c:pt>
                <c:pt idx="31">
                  <c:v>-1.4253749489610996</c:v>
                </c:pt>
                <c:pt idx="32">
                  <c:v>-1.5007549665600999</c:v>
                </c:pt>
                <c:pt idx="33">
                  <c:v>-1.5485506574335368</c:v>
                </c:pt>
                <c:pt idx="34">
                  <c:v>-1.5628032059887593</c:v>
                </c:pt>
                <c:pt idx="35">
                  <c:v>-1.5397312685773996</c:v>
                </c:pt>
                <c:pt idx="36">
                  <c:v>-1.4786939330024422</c:v>
                </c:pt>
                <c:pt idx="37">
                  <c:v>-1.3825793526377343</c:v>
                </c:pt>
                <c:pt idx="38">
                  <c:v>-1.257424379051794</c:v>
                </c:pt>
                <c:pt idx="39">
                  <c:v>-1.1113646327753923</c:v>
                </c:pt>
                <c:pt idx="40">
                  <c:v>-0.95326695104985759</c:v>
                </c:pt>
                <c:pt idx="41">
                  <c:v>-0.7914631538032586</c:v>
                </c:pt>
                <c:pt idx="42">
                  <c:v>-0.6328783820318562</c:v>
                </c:pt>
                <c:pt idx="43">
                  <c:v>-0.48264010461291146</c:v>
                </c:pt>
                <c:pt idx="44">
                  <c:v>-0.34408719182059783</c:v>
                </c:pt>
                <c:pt idx="45">
                  <c:v>-0.21902591033561128</c:v>
                </c:pt>
                <c:pt idx="46">
                  <c:v>-0.10808656804092837</c:v>
                </c:pt>
                <c:pt idx="47">
                  <c:v>-1.1079291271546771E-2</c:v>
                </c:pt>
                <c:pt idx="48">
                  <c:v>7.2704157548866624E-2</c:v>
                </c:pt>
                <c:pt idx="49">
                  <c:v>0.14425980469266045</c:v>
                </c:pt>
                <c:pt idx="50">
                  <c:v>0.20470885631356309</c:v>
                </c:pt>
                <c:pt idx="51">
                  <c:v>0.25519090648491727</c:v>
                </c:pt>
                <c:pt idx="52">
                  <c:v>0.29679894620848662</c:v>
                </c:pt>
                <c:pt idx="53">
                  <c:v>0.33054365826928384</c:v>
                </c:pt>
                <c:pt idx="54">
                  <c:v>0.35733712452584221</c:v>
                </c:pt>
                <c:pt idx="55">
                  <c:v>0.37798872812730672</c:v>
                </c:pt>
                <c:pt idx="56">
                  <c:v>0.39320825272190696</c:v>
                </c:pt>
                <c:pt idx="57">
                  <c:v>0.40361286510601391</c:v>
                </c:pt>
                <c:pt idx="58">
                  <c:v>0.40973587065664152</c:v>
                </c:pt>
                <c:pt idx="59">
                  <c:v>0.41203595358734252</c:v>
                </c:pt>
                <c:pt idx="60">
                  <c:v>0.4109061577636452</c:v>
                </c:pt>
                <c:pt idx="61">
                  <c:v>0.40668221227925494</c:v>
                </c:pt>
                <c:pt idx="62">
                  <c:v>0.39965002244219738</c:v>
                </c:pt>
                <c:pt idx="63">
                  <c:v>0.39005227638926143</c:v>
                </c:pt>
              </c:numCache>
            </c:numRef>
          </c:xVal>
          <c:yVal>
            <c:numRef>
              <c:f>Rosettenbahn!$E$3:$E$66</c:f>
              <c:numCache>
                <c:formatCode>0.000</c:formatCode>
                <c:ptCount val="64"/>
                <c:pt idx="0">
                  <c:v>0</c:v>
                </c:pt>
                <c:pt idx="1">
                  <c:v>3.4995040489727278E-2</c:v>
                </c:pt>
                <c:pt idx="2">
                  <c:v>6.9960014442948373E-2</c:v>
                </c:pt>
                <c:pt idx="3">
                  <c:v>0.10486329404859862</c:v>
                </c:pt>
                <c:pt idx="4">
                  <c:v>0.1396700633980785</c:v>
                </c:pt>
                <c:pt idx="5">
                  <c:v>0.17434055747279353</c:v>
                </c:pt>
                <c:pt idx="6">
                  <c:v>0.20882809198852847</c:v>
                </c:pt>
                <c:pt idx="7">
                  <c:v>0.24307679936070906</c:v>
                </c:pt>
                <c:pt idx="8">
                  <c:v>0.27701897244412005</c:v>
                </c:pt>
                <c:pt idx="9">
                  <c:v>0.31057189982446409</c:v>
                </c:pt>
                <c:pt idx="10">
                  <c:v>0.34363405384227763</c:v>
                </c:pt>
                <c:pt idx="11">
                  <c:v>0.37608046485777213</c:v>
                </c:pt>
                <c:pt idx="12">
                  <c:v>0.40775708248179843</c:v>
                </c:pt>
                <c:pt idx="13">
                  <c:v>0.43847388727119407</c:v>
                </c:pt>
                <c:pt idx="14">
                  <c:v>0.46799647675469347</c:v>
                </c:pt>
                <c:pt idx="15">
                  <c:v>0.49603581214861431</c:v>
                </c:pt>
                <c:pt idx="16">
                  <c:v>0.52223578560318062</c:v>
                </c:pt>
                <c:pt idx="17">
                  <c:v>0.54615826843358273</c:v>
                </c:pt>
                <c:pt idx="18">
                  <c:v>0.56726535652600663</c:v>
                </c:pt>
                <c:pt idx="19">
                  <c:v>0.58489868660220201</c:v>
                </c:pt>
                <c:pt idx="20">
                  <c:v>0.59825603105153369</c:v>
                </c:pt>
                <c:pt idx="21">
                  <c:v>0.60636600446176614</c:v>
                </c:pt>
                <c:pt idx="22">
                  <c:v>0.60806279877094427</c:v>
                </c:pt>
                <c:pt idx="23">
                  <c:v>0.60196462985639421</c:v>
                </c:pt>
                <c:pt idx="24">
                  <c:v>0.58646228642031262</c:v>
                </c:pt>
                <c:pt idx="25">
                  <c:v>0.55972803709215224</c:v>
                </c:pt>
                <c:pt idx="26">
                  <c:v>0.51976013918454067</c:v>
                </c:pt>
                <c:pt idx="27">
                  <c:v>0.46448360913412756</c:v>
                </c:pt>
                <c:pt idx="28">
                  <c:v>0.39193174064837144</c:v>
                </c:pt>
                <c:pt idx="29">
                  <c:v>0.30053095029698301</c:v>
                </c:pt>
                <c:pt idx="30">
                  <c:v>0.18949732206274914</c:v>
                </c:pt>
                <c:pt idx="31">
                  <c:v>5.9319336905930588E-2</c:v>
                </c:pt>
                <c:pt idx="32">
                  <c:v>-8.7754927494127097E-2</c:v>
                </c:pt>
                <c:pt idx="33">
                  <c:v>-0.24737438256115757</c:v>
                </c:pt>
                <c:pt idx="34">
                  <c:v>-0.4130753000726281</c:v>
                </c:pt>
                <c:pt idx="35">
                  <c:v>-0.57676122291227339</c:v>
                </c:pt>
                <c:pt idx="36">
                  <c:v>-0.72968625976723489</c:v>
                </c:pt>
                <c:pt idx="37">
                  <c:v>-0.86374305071536184</c:v>
                </c:pt>
                <c:pt idx="38">
                  <c:v>-0.97268828676263075</c:v>
                </c:pt>
                <c:pt idx="39">
                  <c:v>-1.0529342481583626</c:v>
                </c:pt>
                <c:pt idx="40">
                  <c:v>-1.103712763686022</c:v>
                </c:pt>
                <c:pt idx="41">
                  <c:v>-1.1266687599114777</c:v>
                </c:pt>
                <c:pt idx="42">
                  <c:v>-1.1251183873001163</c:v>
                </c:pt>
                <c:pt idx="43">
                  <c:v>-1.1032418586616037</c:v>
                </c:pt>
                <c:pt idx="44">
                  <c:v>-1.0654053546511075</c:v>
                </c:pt>
                <c:pt idx="45">
                  <c:v>-1.0156958747765839</c:v>
                </c:pt>
                <c:pt idx="46">
                  <c:v>-0.95766589671298785</c:v>
                </c:pt>
                <c:pt idx="47">
                  <c:v>-0.89424021024790246</c:v>
                </c:pt>
                <c:pt idx="48">
                  <c:v>-0.82772742971955415</c:v>
                </c:pt>
                <c:pt idx="49">
                  <c:v>-0.75988752089611555</c:v>
                </c:pt>
                <c:pt idx="50">
                  <c:v>-0.69202136067958053</c:v>
                </c:pt>
                <c:pt idx="51">
                  <c:v>-0.62506190529759864</c:v>
                </c:pt>
                <c:pt idx="52">
                  <c:v>-0.55965652217446171</c:v>
                </c:pt>
                <c:pt idx="53">
                  <c:v>-0.49623640031237598</c:v>
                </c:pt>
                <c:pt idx="54">
                  <c:v>-0.43507253726273509</c:v>
                </c:pt>
                <c:pt idx="55">
                  <c:v>-0.37631954964015918</c:v>
                </c:pt>
                <c:pt idx="56">
                  <c:v>-0.32004921639436174</c:v>
                </c:pt>
                <c:pt idx="57">
                  <c:v>-0.26627574616953109</c:v>
                </c:pt>
                <c:pt idx="58">
                  <c:v>-0.21497457125350525</c:v>
                </c:pt>
                <c:pt idx="59">
                  <c:v>-0.16609618403071907</c:v>
                </c:pt>
                <c:pt idx="60">
                  <c:v>-0.11957623598734163</c:v>
                </c:pt>
                <c:pt idx="61">
                  <c:v>-7.5342853828449449E-2</c:v>
                </c:pt>
                <c:pt idx="62">
                  <c:v>-3.332190561735001E-2</c:v>
                </c:pt>
                <c:pt idx="63">
                  <c:v>6.5592273950072456E-3</c:v>
                </c:pt>
              </c:numCache>
            </c:numRef>
          </c:yVal>
          <c:smooth val="1"/>
        </c:ser>
        <c:ser>
          <c:idx val="1"/>
          <c:order val="2"/>
          <c:tx>
            <c:v>Gestörte Bahn, 2. Umlauf</c:v>
          </c:tx>
          <c:spPr>
            <a:ln w="28575">
              <a:prstDash val="sysDash"/>
              <a:headEnd type="none" w="med" len="med"/>
              <a:tailEnd type="arrow" w="med" len="med"/>
            </a:ln>
          </c:spPr>
          <c:marker>
            <c:symbol val="none"/>
          </c:marker>
          <c:xVal>
            <c:numRef>
              <c:f>Rosettenbahn!$D$66:$D$133</c:f>
              <c:numCache>
                <c:formatCode>0.000</c:formatCode>
                <c:ptCount val="68"/>
                <c:pt idx="0">
                  <c:v>0.39005227638926143</c:v>
                </c:pt>
                <c:pt idx="1">
                  <c:v>0.37809419130357153</c:v>
                </c:pt>
                <c:pt idx="2">
                  <c:v>0.36394846197173736</c:v>
                </c:pt>
                <c:pt idx="3">
                  <c:v>0.34775949184550536</c:v>
                </c:pt>
                <c:pt idx="4">
                  <c:v>0.32964699167576039</c:v>
                </c:pt>
                <c:pt idx="5">
                  <c:v>0.30970902875046213</c:v>
                </c:pt>
                <c:pt idx="6">
                  <c:v>0.28802460428060583</c:v>
                </c:pt>
                <c:pt idx="7">
                  <c:v>0.26465582968528267</c:v>
                </c:pt>
                <c:pt idx="8">
                  <c:v>0.23964976573429964</c:v>
                </c:pt>
                <c:pt idx="9">
                  <c:v>0.21303998251226131</c:v>
                </c:pt>
                <c:pt idx="10">
                  <c:v>0.18484789348006611</c:v>
                </c:pt>
                <c:pt idx="11">
                  <c:v>0.15508391389496332</c:v>
                </c:pt>
                <c:pt idx="12">
                  <c:v>0.12374849283581389</c:v>
                </c:pt>
                <c:pt idx="13">
                  <c:v>9.0833069431035973E-2</c:v>
                </c:pt>
                <c:pt idx="14">
                  <c:v>5.6321008070812695E-2</c:v>
                </c:pt>
                <c:pt idx="15">
                  <c:v>2.0188575035744317E-2</c:v>
                </c:pt>
                <c:pt idx="16">
                  <c:v>-1.7593969043255435E-2</c:v>
                </c:pt>
                <c:pt idx="17">
                  <c:v>-5.7061068990176371E-2</c:v>
                </c:pt>
                <c:pt idx="18">
                  <c:v>-9.8250250683864199E-2</c:v>
                </c:pt>
                <c:pt idx="19">
                  <c:v>-0.14120002226895059</c:v>
                </c:pt>
                <c:pt idx="20">
                  <c:v>-0.18594710526643884</c:v>
                </c:pt>
                <c:pt idx="21">
                  <c:v>-0.23252273918447941</c:v>
                </c:pt>
                <c:pt idx="22">
                  <c:v>-0.28094772334871565</c:v>
                </c:pt>
                <c:pt idx="23">
                  <c:v>-0.331225756046787</c:v>
                </c:pt>
                <c:pt idx="24">
                  <c:v>-0.3833344991792722</c:v>
                </c:pt>
                <c:pt idx="25">
                  <c:v>-0.43721363316170775</c:v>
                </c:pt>
                <c:pt idx="26">
                  <c:v>-0.49274897239394505</c:v>
                </c:pt>
                <c:pt idx="27">
                  <c:v>-0.54975149548818247</c:v>
                </c:pt>
                <c:pt idx="28">
                  <c:v>-0.60792993341605972</c:v>
                </c:pt>
                <c:pt idx="29">
                  <c:v>-0.66685541206779564</c:v>
                </c:pt>
                <c:pt idx="30">
                  <c:v>-0.72591667916342451</c:v>
                </c:pt>
                <c:pt idx="31">
                  <c:v>-0.78426486666223982</c:v>
                </c:pt>
                <c:pt idx="32">
                  <c:v>-0.84074789389262539</c:v>
                </c:pt>
                <c:pt idx="33">
                  <c:v>-0.89383702936891585</c:v>
                </c:pt>
                <c:pt idx="34">
                  <c:v>-0.94155250895167042</c:v>
                </c:pt>
                <c:pt idx="35">
                  <c:v>-0.98140221567050279</c:v>
                </c:pt>
                <c:pt idx="36">
                  <c:v>-1.0103576495376201</c:v>
                </c:pt>
                <c:pt idx="37">
                  <c:v>-1.0249038232959036</c:v>
                </c:pt>
                <c:pt idx="38">
                  <c:v>-1.0212104912624516</c:v>
                </c:pt>
                <c:pt idx="39">
                  <c:v>-0.99547281884042038</c:v>
                </c:pt>
                <c:pt idx="40">
                  <c:v>-0.94444714813218267</c:v>
                </c:pt>
                <c:pt idx="41">
                  <c:v>-0.86614934986742598</c:v>
                </c:pt>
                <c:pt idx="42">
                  <c:v>-0.76059060952687374</c:v>
                </c:pt>
                <c:pt idx="43">
                  <c:v>-0.63033032466693528</c:v>
                </c:pt>
                <c:pt idx="44">
                  <c:v>-0.48059292919518859</c:v>
                </c:pt>
                <c:pt idx="45">
                  <c:v>-0.31878747586602285</c:v>
                </c:pt>
                <c:pt idx="46">
                  <c:v>-0.15348160376958331</c:v>
                </c:pt>
                <c:pt idx="47">
                  <c:v>6.8880318767722036E-3</c:v>
                </c:pt>
                <c:pt idx="48">
                  <c:v>0.1551806818511301</c:v>
                </c:pt>
                <c:pt idx="49">
                  <c:v>0.28628622948848714</c:v>
                </c:pt>
                <c:pt idx="50">
                  <c:v>0.39732905299532373</c:v>
                </c:pt>
                <c:pt idx="51">
                  <c:v>0.48743610867418491</c:v>
                </c:pt>
                <c:pt idx="52">
                  <c:v>0.55726125976369545</c:v>
                </c:pt>
                <c:pt idx="53">
                  <c:v>0.60845109783081819</c:v>
                </c:pt>
                <c:pt idx="54">
                  <c:v>0.64317465703205468</c:v>
                </c:pt>
                <c:pt idx="55">
                  <c:v>0.66377020643149642</c:v>
                </c:pt>
                <c:pt idx="56">
                  <c:v>0.67251307489237289</c:v>
                </c:pt>
                <c:pt idx="57">
                  <c:v>0.67148353934848126</c:v>
                </c:pt>
                <c:pt idx="58">
                  <c:v>0.66250670621399443</c:v>
                </c:pt>
                <c:pt idx="59">
                  <c:v>0.64713878367493327</c:v>
                </c:pt>
                <c:pt idx="60">
                  <c:v>0.62668012029161779</c:v>
                </c:pt>
                <c:pt idx="61">
                  <c:v>0.60220155343246251</c:v>
                </c:pt>
                <c:pt idx="62">
                  <c:v>0.5745756224111811</c:v>
                </c:pt>
                <c:pt idx="63">
                  <c:v>0.54450778913478792</c:v>
                </c:pt>
                <c:pt idx="64">
                  <c:v>0.51256516683786868</c:v>
                </c:pt>
                <c:pt idx="65">
                  <c:v>0.47920170196858175</c:v>
                </c:pt>
                <c:pt idx="66">
                  <c:v>0.44477957957170583</c:v>
                </c:pt>
                <c:pt idx="67">
                  <c:v>0.40958705453161887</c:v>
                </c:pt>
              </c:numCache>
            </c:numRef>
          </c:xVal>
          <c:yVal>
            <c:numRef>
              <c:f>Rosettenbahn!$E$66:$E$133</c:f>
              <c:numCache>
                <c:formatCode>0.000</c:formatCode>
                <c:ptCount val="68"/>
                <c:pt idx="0">
                  <c:v>6.5592273950072456E-3</c:v>
                </c:pt>
                <c:pt idx="1">
                  <c:v>4.4368955390620191E-2</c:v>
                </c:pt>
                <c:pt idx="2">
                  <c:v>8.0169548273326674E-2</c:v>
                </c:pt>
                <c:pt idx="3">
                  <c:v>0.11401573381203685</c:v>
                </c:pt>
                <c:pt idx="4">
                  <c:v>0.14595365046806774</c:v>
                </c:pt>
                <c:pt idx="5">
                  <c:v>0.17602002280015244</c:v>
                </c:pt>
                <c:pt idx="6">
                  <c:v>0.20424145856547998</c:v>
                </c:pt>
                <c:pt idx="7">
                  <c:v>0.23063378889546632</c:v>
                </c:pt>
                <c:pt idx="8">
                  <c:v>0.25520138838966383</c:v>
                </c:pt>
                <c:pt idx="9">
                  <c:v>0.27793642225457743</c:v>
                </c:pt>
                <c:pt idx="10">
                  <c:v>0.29881797390632781</c:v>
                </c:pt>
                <c:pt idx="11">
                  <c:v>0.31781100963136288</c:v>
                </c:pt>
                <c:pt idx="12">
                  <c:v>0.3348651376059224</c:v>
                </c:pt>
                <c:pt idx="13">
                  <c:v>0.34991311731207253</c:v>
                </c:pt>
                <c:pt idx="14">
                  <c:v>0.36286907257876327</c:v>
                </c:pt>
                <c:pt idx="15">
                  <c:v>0.37362635754319523</c:v>
                </c:pt>
                <c:pt idx="16">
                  <c:v>0.38205502028489868</c:v>
                </c:pt>
                <c:pt idx="17">
                  <c:v>0.38799880445965612</c:v>
                </c:pt>
                <c:pt idx="18">
                  <c:v>0.39127162606677812</c:v>
                </c:pt>
                <c:pt idx="19">
                  <c:v>0.39165346227664033</c:v>
                </c:pt>
                <c:pt idx="20">
                  <c:v>0.38888559480129004</c:v>
                </c:pt>
                <c:pt idx="21">
                  <c:v>0.38266516596780292</c:v>
                </c:pt>
                <c:pt idx="22">
                  <c:v>0.37263903822232691</c:v>
                </c:pt>
                <c:pt idx="23">
                  <c:v>0.35839700763580784</c:v>
                </c:pt>
                <c:pt idx="24">
                  <c:v>0.33946452479197725</c:v>
                </c:pt>
                <c:pt idx="25">
                  <c:v>0.31529524551363397</c:v>
                </c:pt>
                <c:pt idx="26">
                  <c:v>0.2852640030488815</c:v>
                </c:pt>
                <c:pt idx="27">
                  <c:v>0.24866121021086901</c:v>
                </c:pt>
                <c:pt idx="28">
                  <c:v>0.20469032861550016</c:v>
                </c:pt>
                <c:pt idx="29">
                  <c:v>0.15247096277759195</c:v>
                </c:pt>
                <c:pt idx="30">
                  <c:v>9.1051437110061126E-2</c:v>
                </c:pt>
                <c:pt idx="31">
                  <c:v>1.9436461916484498E-2</c:v>
                </c:pt>
                <c:pt idx="32">
                  <c:v>-6.3362325010085013E-2</c:v>
                </c:pt>
                <c:pt idx="33">
                  <c:v>-0.15824276835638643</c:v>
                </c:pt>
                <c:pt idx="34">
                  <c:v>-0.26588345542735814</c:v>
                </c:pt>
                <c:pt idx="35">
                  <c:v>-0.38655768890877296</c:v>
                </c:pt>
                <c:pt idx="36">
                  <c:v>-0.5198824671714587</c:v>
                </c:pt>
                <c:pt idx="37">
                  <c:v>-0.66450749093808514</c:v>
                </c:pt>
                <c:pt idx="38">
                  <c:v>-0.81777443745049883</c:v>
                </c:pt>
                <c:pt idx="39">
                  <c:v>-0.97541611600167422</c:v>
                </c:pt>
                <c:pt idx="40">
                  <c:v>-1.13141196084547</c:v>
                </c:pt>
                <c:pt idx="41">
                  <c:v>-1.2781488045492351</c:v>
                </c:pt>
                <c:pt idx="42">
                  <c:v>-1.4070165635604719</c:v>
                </c:pt>
                <c:pt idx="43">
                  <c:v>-1.5094619350726337</c:v>
                </c:pt>
                <c:pt idx="44">
                  <c:v>-1.5783348495457219</c:v>
                </c:pt>
                <c:pt idx="45">
                  <c:v>-1.6091716940144014</c:v>
                </c:pt>
                <c:pt idx="46">
                  <c:v>-1.6009954118203606</c:v>
                </c:pt>
                <c:pt idx="47">
                  <c:v>-1.556356632968279</c:v>
                </c:pt>
                <c:pt idx="48">
                  <c:v>-1.4806334567336235</c:v>
                </c:pt>
                <c:pt idx="49">
                  <c:v>-1.3808787376057454</c:v>
                </c:pt>
                <c:pt idx="50">
                  <c:v>-1.2646053511918098</c:v>
                </c:pt>
                <c:pt idx="51">
                  <c:v>-1.1388165710230538</c:v>
                </c:pt>
                <c:pt idx="52">
                  <c:v>-1.0094160524893341</c:v>
                </c:pt>
                <c:pt idx="53">
                  <c:v>-0.88097852874728233</c:v>
                </c:pt>
                <c:pt idx="54">
                  <c:v>-0.75678088494126716</c:v>
                </c:pt>
                <c:pt idx="55">
                  <c:v>-0.6389790884119898</c:v>
                </c:pt>
                <c:pt idx="56">
                  <c:v>-0.52883984052878474</c:v>
                </c:pt>
                <c:pt idx="57">
                  <c:v>-0.42696947542757624</c:v>
                </c:pt>
                <c:pt idx="58">
                  <c:v>-0.33351144472459571</c:v>
                </c:pt>
                <c:pt idx="59">
                  <c:v>-0.24830302919650515</c:v>
                </c:pt>
                <c:pt idx="60">
                  <c:v>-0.17099259174950537</c:v>
                </c:pt>
                <c:pt idx="61">
                  <c:v>-0.10112337267229217</c:v>
                </c:pt>
                <c:pt idx="62">
                  <c:v>-3.8191031439184099E-2</c:v>
                </c:pt>
                <c:pt idx="63">
                  <c:v>1.8318368577531906E-2</c:v>
                </c:pt>
                <c:pt idx="64">
                  <c:v>6.8904395053006703E-2</c:v>
                </c:pt>
                <c:pt idx="65">
                  <c:v>0.1140380227008099</c:v>
                </c:pt>
                <c:pt idx="66">
                  <c:v>0.15415398839789424</c:v>
                </c:pt>
                <c:pt idx="67">
                  <c:v>0.18964746202533489</c:v>
                </c:pt>
              </c:numCache>
            </c:numRef>
          </c:yVal>
          <c:smooth val="1"/>
        </c:ser>
        <c:ser>
          <c:idx val="3"/>
          <c:order val="6"/>
          <c:tx>
            <c:v>Erde</c:v>
          </c:tx>
          <c:spPr>
            <a:ln w="12700">
              <a:solidFill>
                <a:srgbClr val="C00000"/>
              </a:solidFill>
            </a:ln>
          </c:spPr>
          <c:marker>
            <c:symbol val="circle"/>
            <c:size val="9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</c:spPr>
          </c:marker>
          <c:dLbls>
            <c:dLbl>
              <c:idx val="0"/>
              <c:layout>
                <c:manualLayout>
                  <c:x val="-0.14660501112925567"/>
                  <c:y val="3.824892856134918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Zentral-</a:t>
                    </a:r>
                  </a:p>
                  <a:p>
                    <a:pPr>
                      <a:defRPr/>
                    </a:pPr>
                    <a:r>
                      <a:rPr lang="en-US"/>
                      <a:t>körper</a:t>
                    </a:r>
                  </a:p>
                </c:rich>
              </c:tx>
              <c:spPr>
                <a:noFill/>
                <a:ln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Rosettenbahn!$F$9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Rosettenbahn!$G$9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036864"/>
        <c:axId val="128038784"/>
      </c:scatterChart>
      <c:scatterChart>
        <c:scatterStyle val="lineMarker"/>
        <c:varyColors val="0"/>
        <c:ser>
          <c:idx val="8"/>
          <c:order val="3"/>
          <c:tx>
            <c:v>P0, A0: Peri- und Apozentrum der ungestörten Bahn</c:v>
          </c:tx>
          <c:spPr>
            <a:ln w="25400">
              <a:noFill/>
            </a:ln>
          </c:spPr>
          <c:marker>
            <c:symbol val="circle"/>
            <c:size val="5"/>
            <c:spPr>
              <a:solidFill>
                <a:schemeClr val="tx2">
                  <a:lumMod val="75000"/>
                </a:schemeClr>
              </a:solidFill>
            </c:spPr>
          </c:marker>
          <c:dLbls>
            <c:dLbl>
              <c:idx val="0"/>
              <c:layout>
                <c:manualLayout>
                  <c:x val="-7.3983626789977747E-2"/>
                  <c:y val="-1.9549330527232484E-2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sz="1400" b="1"/>
                      <a:t>A</a:t>
                    </a:r>
                    <a:r>
                      <a:rPr lang="en-US" sz="900" b="1"/>
                      <a:t>0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Rosettenbahn!$F$3:$F$4</c:f>
              <c:numCache>
                <c:formatCode>0.000</c:formatCode>
                <c:ptCount val="2"/>
                <c:pt idx="0">
                  <c:v>-1.6459293892976312</c:v>
                </c:pt>
                <c:pt idx="1">
                  <c:v>0.35</c:v>
                </c:pt>
              </c:numCache>
            </c:numRef>
          </c:xVal>
          <c:yVal>
            <c:numRef>
              <c:f>Rosettenbahn!$G$3:$G$4</c:f>
              <c:numCache>
                <c:formatCode>0.000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5"/>
          <c:order val="4"/>
          <c:tx>
            <c:v>P1, A1: Peri- und Apozentrum des 1. Umlaufs</c:v>
          </c:tx>
          <c:spPr>
            <a:ln w="25400">
              <a:noFill/>
            </a:ln>
          </c:spPr>
          <c:marker>
            <c:symbol val="diamond"/>
            <c:size val="9"/>
            <c:spPr>
              <a:solidFill>
                <a:schemeClr val="tx2"/>
              </a:solidFill>
            </c:spPr>
          </c:marker>
          <c:dLbls>
            <c:dLbl>
              <c:idx val="0"/>
              <c:layout>
                <c:manualLayout>
                  <c:x val="-9.047238705018136E-2"/>
                  <c:y val="8.1925243215565796E-3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sz="1400" b="1"/>
                      <a:t>A</a:t>
                    </a:r>
                    <a:r>
                      <a:rPr lang="en-US" sz="900" b="1"/>
                      <a:t>1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0032854209445585"/>
                  <c:y val="2.6625704045058884E-2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sz="1400" b="1"/>
                      <a:t>P</a:t>
                    </a:r>
                    <a:r>
                      <a:rPr lang="en-US" sz="900" b="1"/>
                      <a:t>0</a:t>
                    </a:r>
                    <a:r>
                      <a:rPr lang="en-US" b="1"/>
                      <a:t>, </a:t>
                    </a:r>
                    <a:r>
                      <a:rPr lang="en-US" sz="1400" b="1"/>
                      <a:t>P</a:t>
                    </a:r>
                    <a:r>
                      <a:rPr lang="en-US" sz="900" b="1"/>
                      <a:t>1</a:t>
                    </a:r>
                  </a:p>
                </c:rich>
              </c:tx>
              <c:spPr>
                <a:noFill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Rosettenbahn!$F$5:$F$6</c:f>
              <c:numCache>
                <c:formatCode>0.000</c:formatCode>
                <c:ptCount val="2"/>
                <c:pt idx="0">
                  <c:v>-1.4786939330024422</c:v>
                </c:pt>
                <c:pt idx="1">
                  <c:v>0.35</c:v>
                </c:pt>
              </c:numCache>
            </c:numRef>
          </c:xVal>
          <c:yVal>
            <c:numRef>
              <c:f>Rosettenbahn!$G$5:$G$6</c:f>
              <c:numCache>
                <c:formatCode>0.000</c:formatCode>
                <c:ptCount val="2"/>
                <c:pt idx="0">
                  <c:v>-0.72968625976723489</c:v>
                </c:pt>
                <c:pt idx="1">
                  <c:v>0</c:v>
                </c:pt>
              </c:numCache>
            </c:numRef>
          </c:yVal>
          <c:smooth val="0"/>
        </c:ser>
        <c:ser>
          <c:idx val="6"/>
          <c:order val="5"/>
          <c:tx>
            <c:v>P2, A2: Peri- und Apozentrum des 2. Umlaufs</c:v>
          </c:tx>
          <c:spPr>
            <a:ln w="25400"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sz="1400" b="1"/>
                      <a:t>A</a:t>
                    </a:r>
                    <a:r>
                      <a:rPr lang="en-US" sz="900" b="1"/>
                      <a:t>2</a:t>
                    </a:r>
                  </a:p>
                </c:rich>
              </c:tx>
              <c:spPr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sz="1400" b="1">
                        <a:solidFill>
                          <a:srgbClr val="C00000"/>
                        </a:solidFill>
                      </a:rPr>
                      <a:t>P</a:t>
                    </a:r>
                    <a:r>
                      <a:rPr lang="en-US" sz="900" b="1">
                        <a:solidFill>
                          <a:srgbClr val="C00000"/>
                        </a:solidFill>
                      </a:rPr>
                      <a:t>2</a:t>
                    </a:r>
                    <a:endParaRPr lang="en-US" b="1">
                      <a:solidFill>
                        <a:srgbClr val="C00000"/>
                      </a:solidFill>
                    </a:endParaRPr>
                  </a:p>
                </c:rich>
              </c:tx>
              <c:spPr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Rosettenbahn!$F$7:$F$8</c:f>
              <c:numCache>
                <c:formatCode>0.000</c:formatCode>
                <c:ptCount val="2"/>
                <c:pt idx="0">
                  <c:v>-0.48059292919518859</c:v>
                </c:pt>
                <c:pt idx="1">
                  <c:v>0.23964976573429964</c:v>
                </c:pt>
              </c:numCache>
            </c:numRef>
          </c:xVal>
          <c:yVal>
            <c:numRef>
              <c:f>Rosettenbahn!$G$7:$G$8</c:f>
              <c:numCache>
                <c:formatCode>0.000</c:formatCode>
                <c:ptCount val="2"/>
                <c:pt idx="0">
                  <c:v>-1.5783348495457219</c:v>
                </c:pt>
                <c:pt idx="1">
                  <c:v>0.25520138838966383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036864"/>
        <c:axId val="128038784"/>
      </c:scatterChart>
      <c:valAx>
        <c:axId val="128036864"/>
        <c:scaling>
          <c:orientation val="minMax"/>
          <c:max val="1"/>
          <c:min val="-2"/>
        </c:scaling>
        <c:delete val="0"/>
        <c:axPos val="b"/>
        <c:majorGridlines>
          <c:spPr>
            <a:ln w="6350"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i="1"/>
                </a:pPr>
                <a:r>
                  <a:rPr lang="en-US" sz="1400" i="1"/>
                  <a:t>x</a:t>
                </a:r>
              </a:p>
            </c:rich>
          </c:tx>
          <c:layout>
            <c:manualLayout>
              <c:xMode val="edge"/>
              <c:yMode val="edge"/>
              <c:x val="0.91216435727874878"/>
              <c:y val="0.3051450826711177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  <a:tailEnd type="arrow"/>
          </a:ln>
        </c:spPr>
        <c:txPr>
          <a:bodyPr/>
          <a:lstStyle/>
          <a:p>
            <a:pPr>
              <a:defRPr sz="1000">
                <a:solidFill>
                  <a:schemeClr val="bg1"/>
                </a:solidFill>
              </a:defRPr>
            </a:pPr>
            <a:endParaRPr lang="de-DE"/>
          </a:p>
        </c:txPr>
        <c:crossAx val="128038784"/>
        <c:crosses val="autoZero"/>
        <c:crossBetween val="midCat"/>
        <c:majorUnit val="0.5"/>
        <c:minorUnit val="0.1"/>
      </c:valAx>
      <c:valAx>
        <c:axId val="128038784"/>
        <c:scaling>
          <c:orientation val="minMax"/>
          <c:max val="1.1000000000000001"/>
          <c:min val="-2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400" i="1"/>
                </a:pPr>
                <a:r>
                  <a:rPr lang="en-US" sz="1400" i="1"/>
                  <a:t>y</a:t>
                </a:r>
              </a:p>
            </c:rich>
          </c:tx>
          <c:layout>
            <c:manualLayout>
              <c:xMode val="edge"/>
              <c:yMode val="edge"/>
              <c:x val="0.68851234458115729"/>
              <c:y val="0.10276667029524535"/>
            </c:manualLayout>
          </c:layout>
          <c:overlay val="0"/>
          <c:spPr>
            <a:solidFill>
              <a:schemeClr val="bg1"/>
            </a:solidFill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  <a:tailEnd type="arrow"/>
          </a:ln>
        </c:spPr>
        <c:txPr>
          <a:bodyPr/>
          <a:lstStyle/>
          <a:p>
            <a:pPr>
              <a:defRPr sz="1000">
                <a:solidFill>
                  <a:schemeClr val="bg1"/>
                </a:solidFill>
              </a:defRPr>
            </a:pPr>
            <a:endParaRPr lang="de-DE"/>
          </a:p>
        </c:txPr>
        <c:crossAx val="128036864"/>
        <c:crosses val="autoZero"/>
        <c:crossBetween val="midCat"/>
        <c:majorUnit val="0.5"/>
      </c:val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6.8051976049195079E-2"/>
          <c:y val="0.7720457523454729"/>
          <c:w val="0.90002899534888725"/>
          <c:h val="0.20990865548586088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  <a:prstDash val="sysDash"/>
        </a:ln>
      </c:spPr>
    </c:legend>
    <c:plotVisOnly val="1"/>
    <c:dispBlanksAs val="gap"/>
    <c:showDLblsOverMax val="0"/>
  </c:chart>
  <c:txPr>
    <a:bodyPr/>
    <a:lstStyle/>
    <a:p>
      <a:pPr>
        <a:defRPr sz="1200"/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 u="sng"/>
              <a:t>Diagramm 4</a:t>
            </a:r>
            <a:r>
              <a:rPr lang="en-US" sz="1200"/>
              <a:t>  Entstehung einer Rosettenbahn </a:t>
            </a:r>
          </a:p>
          <a:p>
            <a:pPr>
              <a:defRPr sz="1200"/>
            </a:pPr>
            <a:r>
              <a:rPr lang="en-US" sz="1200" i="1">
                <a:latin typeface="Calibri"/>
                <a:cs typeface="Calibri"/>
              </a:rPr>
              <a:t>a</a:t>
            </a:r>
            <a:r>
              <a:rPr lang="en-US" sz="1200">
                <a:latin typeface="Calibri"/>
                <a:cs typeface="Calibri"/>
              </a:rPr>
              <a:t> = 1, </a:t>
            </a:r>
            <a:r>
              <a:rPr lang="en-US" sz="1200" i="1">
                <a:latin typeface="Calibri"/>
                <a:cs typeface="Calibri"/>
              </a:rPr>
              <a:t>e</a:t>
            </a:r>
            <a:r>
              <a:rPr lang="en-US" sz="1200">
                <a:latin typeface="Calibri"/>
                <a:cs typeface="Calibri"/>
              </a:rPr>
              <a:t> = 0,65, </a:t>
            </a:r>
            <a:r>
              <a:rPr lang="en-US" sz="1200" i="1">
                <a:latin typeface="Calibri"/>
                <a:cs typeface="Calibri"/>
              </a:rPr>
              <a:t>f</a:t>
            </a:r>
            <a:r>
              <a:rPr lang="en-US" sz="1200">
                <a:latin typeface="Calibri"/>
                <a:cs typeface="Calibri"/>
              </a:rPr>
              <a:t> = 1,12 </a:t>
            </a:r>
            <a:r>
              <a:rPr lang="en-US" sz="1200"/>
              <a:t>(</a:t>
            </a:r>
            <a:r>
              <a:rPr lang="en-US" sz="1200" i="1"/>
              <a:t>B</a:t>
            </a:r>
            <a:r>
              <a:rPr lang="en-US" sz="1200"/>
              <a:t> negativ)</a:t>
            </a:r>
          </a:p>
        </c:rich>
      </c:tx>
      <c:layout>
        <c:manualLayout>
          <c:xMode val="edge"/>
          <c:yMode val="edge"/>
          <c:x val="0.15258540356873995"/>
          <c:y val="8.318161154478583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8639911120010162E-2"/>
          <c:y val="0.11065768403498298"/>
          <c:w val="0.88705737565662257"/>
          <c:h val="0.74048930706766347"/>
        </c:manualLayout>
      </c:layout>
      <c:scatterChart>
        <c:scatterStyle val="lineMarker"/>
        <c:varyColors val="0"/>
        <c:ser>
          <c:idx val="5"/>
          <c:order val="1"/>
          <c:tx>
            <c:v>P1, A1: Peri- und Apozentrum des 1. Umlaufs</c:v>
          </c:tx>
          <c:spPr>
            <a:ln w="25400">
              <a:noFill/>
            </a:ln>
          </c:spPr>
          <c:marker>
            <c:symbol val="diamond"/>
            <c:size val="9"/>
            <c:spPr>
              <a:solidFill>
                <a:schemeClr val="tx2"/>
              </a:solidFill>
            </c:spPr>
          </c:marker>
          <c:dLbls>
            <c:dLbl>
              <c:idx val="0"/>
              <c:layout>
                <c:manualLayout>
                  <c:x val="-7.5044025157232699E-2"/>
                  <c:y val="-1.041666880263053E-2"/>
                </c:manualLayout>
              </c:layout>
              <c:tx>
                <c:rich>
                  <a:bodyPr/>
                  <a:lstStyle/>
                  <a:p>
                    <a:pPr>
                      <a:defRPr sz="1200" b="1">
                        <a:solidFill>
                          <a:srgbClr val="C00000"/>
                        </a:solidFill>
                      </a:defRPr>
                    </a:pPr>
                    <a:r>
                      <a:rPr lang="en-US" sz="1200" b="1">
                        <a:solidFill>
                          <a:srgbClr val="C00000"/>
                        </a:solidFill>
                      </a:rPr>
                      <a:t>A</a:t>
                    </a:r>
                    <a:r>
                      <a:rPr lang="en-US" sz="900" b="1">
                        <a:solidFill>
                          <a:srgbClr val="C00000"/>
                        </a:solidFill>
                      </a:rPr>
                      <a:t>1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3547268855543996E-2"/>
                  <c:y val="-1.5625003203945866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rgbClr val="C00000"/>
                        </a:solidFill>
                      </a:rPr>
                      <a:t>P</a:t>
                    </a:r>
                    <a:r>
                      <a:rPr lang="en-US" sz="900" b="1">
                        <a:solidFill>
                          <a:srgbClr val="C00000"/>
                        </a:solidFill>
                      </a:rPr>
                      <a:t>1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Rosettenbahn!$R$3:$R$4</c:f>
              <c:numCache>
                <c:formatCode>0.000</c:formatCode>
                <c:ptCount val="2"/>
                <c:pt idx="0">
                  <c:v>-1.5546217103361029</c:v>
                </c:pt>
                <c:pt idx="1">
                  <c:v>0.35</c:v>
                </c:pt>
              </c:numCache>
            </c:numRef>
          </c:xVal>
          <c:yVal>
            <c:numRef>
              <c:f>Rosettenbahn!$S$3:$S$4</c:f>
              <c:numCache>
                <c:formatCode>0.000</c:formatCode>
                <c:ptCount val="2"/>
                <c:pt idx="0">
                  <c:v>0.55271439495705577</c:v>
                </c:pt>
                <c:pt idx="1">
                  <c:v>0</c:v>
                </c:pt>
              </c:numCache>
            </c:numRef>
          </c:yVal>
          <c:smooth val="0"/>
        </c:ser>
        <c:ser>
          <c:idx val="6"/>
          <c:order val="3"/>
          <c:tx>
            <c:v>P2, A2: Peri- und Apozentrum des 2. Umlaufs</c:v>
          </c:tx>
          <c:spPr>
            <a:ln w="25400">
              <a:noFill/>
            </a:ln>
          </c:spPr>
          <c:marker>
            <c:symbol val="circle"/>
            <c:size val="8"/>
            <c:spPr>
              <a:solidFill>
                <a:srgbClr val="C00000"/>
              </a:solidFill>
            </c:spPr>
          </c:marker>
          <c:dLbls>
            <c:dLbl>
              <c:idx val="0"/>
              <c:layout>
                <c:manualLayout>
                  <c:x val="-1.0062893081761006E-2"/>
                  <c:y val="2.0833337605261178E-2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sz="1200" b="1">
                        <a:solidFill>
                          <a:srgbClr val="C00000"/>
                        </a:solidFill>
                      </a:rPr>
                      <a:t>A</a:t>
                    </a:r>
                    <a:r>
                      <a:rPr lang="en-US" sz="900" b="1">
                        <a:solidFill>
                          <a:srgbClr val="C00000"/>
                        </a:solidFill>
                      </a:rPr>
                      <a:t>2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7861635220125787E-2"/>
                  <c:y val="-2.0833337605261158E-2"/>
                </c:manualLayout>
              </c:layout>
              <c:tx>
                <c:rich>
                  <a:bodyPr/>
                  <a:lstStyle/>
                  <a:p>
                    <a:pPr>
                      <a:defRPr sz="1200" b="1">
                        <a:solidFill>
                          <a:srgbClr val="C00000"/>
                        </a:solidFill>
                      </a:defRPr>
                    </a:pPr>
                    <a:r>
                      <a:rPr lang="en-US" sz="1200" b="1">
                        <a:solidFill>
                          <a:srgbClr val="C00000"/>
                        </a:solidFill>
                      </a:rPr>
                      <a:t>P</a:t>
                    </a:r>
                    <a:r>
                      <a:rPr lang="en-US" sz="900" b="1">
                        <a:solidFill>
                          <a:srgbClr val="C00000"/>
                        </a:solidFill>
                      </a:rPr>
                      <a:t>2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Rosettenbahn!$R$5:$R$6</c:f>
              <c:numCache>
                <c:formatCode>0.000</c:formatCode>
                <c:ptCount val="2"/>
                <c:pt idx="0">
                  <c:v>-0.85660237482860602</c:v>
                </c:pt>
                <c:pt idx="1">
                  <c:v>0.2714547468939057</c:v>
                </c:pt>
              </c:numCache>
            </c:numRef>
          </c:xVal>
          <c:yVal>
            <c:numRef>
              <c:f>Rosettenbahn!$S$5:$S$6</c:f>
              <c:numCache>
                <c:formatCode>0.000</c:formatCode>
                <c:ptCount val="2"/>
                <c:pt idx="0">
                  <c:v>1.4097197163677759</c:v>
                </c:pt>
                <c:pt idx="1">
                  <c:v>-0.22094876805998431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583168"/>
        <c:axId val="128585088"/>
      </c:scatterChart>
      <c:scatterChart>
        <c:scatterStyle val="smoothMarker"/>
        <c:varyColors val="0"/>
        <c:ser>
          <c:idx val="0"/>
          <c:order val="0"/>
          <c:tx>
            <c:v>Gestörte Bahn, 1. Umlauf</c:v>
          </c:tx>
          <c:spPr>
            <a:ln w="28575"/>
          </c:spPr>
          <c:marker>
            <c:symbol val="none"/>
          </c:marker>
          <c:xVal>
            <c:numRef>
              <c:f>Rosettenbahn!$P$3:$P$66</c:f>
              <c:numCache>
                <c:formatCode>0.000</c:formatCode>
                <c:ptCount val="64"/>
                <c:pt idx="0">
                  <c:v>0.35</c:v>
                </c:pt>
                <c:pt idx="1">
                  <c:v>0.34911314105314145</c:v>
                </c:pt>
                <c:pt idx="2">
                  <c:v>0.3464328583446839</c:v>
                </c:pt>
                <c:pt idx="3">
                  <c:v>0.34189935937492422</c:v>
                </c:pt>
                <c:pt idx="4">
                  <c:v>0.33541071366605985</c:v>
                </c:pt>
                <c:pt idx="5">
                  <c:v>0.32681934513712418</c:v>
                </c:pt>
                <c:pt idx="6">
                  <c:v>0.31592693612794903</c:v>
                </c:pt>
                <c:pt idx="7">
                  <c:v>0.30247756210147875</c:v>
                </c:pt>
                <c:pt idx="8">
                  <c:v>0.28614883625612403</c:v>
                </c:pt>
                <c:pt idx="9">
                  <c:v>0.26654082446395538</c:v>
                </c:pt>
                <c:pt idx="10">
                  <c:v>0.24316251581293433</c:v>
                </c:pt>
                <c:pt idx="11">
                  <c:v>0.21541574393576646</c:v>
                </c:pt>
                <c:pt idx="12">
                  <c:v>0.18257672216550505</c:v>
                </c:pt>
                <c:pt idx="13">
                  <c:v>0.14377590624970768</c:v>
                </c:pt>
                <c:pt idx="14">
                  <c:v>9.7977939337876255E-2</c:v>
                </c:pt>
                <c:pt idx="15">
                  <c:v>4.3965296643158541E-2</c:v>
                </c:pt>
                <c:pt idx="16">
                  <c:v>-1.9667568877089883E-2</c:v>
                </c:pt>
                <c:pt idx="17">
                  <c:v>-9.4497591509962356E-2</c:v>
                </c:pt>
                <c:pt idx="18">
                  <c:v>-0.18221403627240287</c:v>
                </c:pt>
                <c:pt idx="19">
                  <c:v>-0.2844860184498505</c:v>
                </c:pt>
                <c:pt idx="20">
                  <c:v>-0.4027126546613139</c:v>
                </c:pt>
                <c:pt idx="21">
                  <c:v>-0.53760262949411863</c:v>
                </c:pt>
                <c:pt idx="22">
                  <c:v>-0.68853858607253238</c:v>
                </c:pt>
                <c:pt idx="23">
                  <c:v>-0.85273523923165928</c:v>
                </c:pt>
                <c:pt idx="24">
                  <c:v>-1.024333092760304</c:v>
                </c:pt>
                <c:pt idx="25">
                  <c:v>-1.1937915048730603</c:v>
                </c:pt>
                <c:pt idx="26">
                  <c:v>-1.3481663194168194</c:v>
                </c:pt>
                <c:pt idx="27">
                  <c:v>-1.4728292247325294</c:v>
                </c:pt>
                <c:pt idx="28">
                  <c:v>-1.5546217103361029</c:v>
                </c:pt>
                <c:pt idx="29">
                  <c:v>-1.5854278676782212</c:v>
                </c:pt>
                <c:pt idx="30">
                  <c:v>-1.564465434588042</c:v>
                </c:pt>
                <c:pt idx="31">
                  <c:v>-1.4980866566548294</c:v>
                </c:pt>
                <c:pt idx="32">
                  <c:v>-1.3973429672818793</c:v>
                </c:pt>
                <c:pt idx="33">
                  <c:v>-1.2747390202628686</c:v>
                </c:pt>
                <c:pt idx="34">
                  <c:v>-1.1416096305866128</c:v>
                </c:pt>
                <c:pt idx="35">
                  <c:v>-1.0067482242642785</c:v>
                </c:pt>
                <c:pt idx="36">
                  <c:v>-0.8761436795401949</c:v>
                </c:pt>
                <c:pt idx="37">
                  <c:v>-0.75336375027343871</c:v>
                </c:pt>
                <c:pt idx="38">
                  <c:v>-0.6401668151875618</c:v>
                </c:pt>
                <c:pt idx="39">
                  <c:v>-0.537093171532805</c:v>
                </c:pt>
                <c:pt idx="40">
                  <c:v>-0.44393486996440618</c:v>
                </c:pt>
                <c:pt idx="41">
                  <c:v>-0.36006925680888169</c:v>
                </c:pt>
                <c:pt idx="42">
                  <c:v>-0.28467790842040752</c:v>
                </c:pt>
                <c:pt idx="43">
                  <c:v>-0.21688130132413194</c:v>
                </c:pt>
                <c:pt idx="44">
                  <c:v>-0.15581631961471901</c:v>
                </c:pt>
                <c:pt idx="45">
                  <c:v>-0.10067711750989901</c:v>
                </c:pt>
                <c:pt idx="46">
                  <c:v>-5.0733563449840632E-2</c:v>
                </c:pt>
                <c:pt idx="47">
                  <c:v>-5.3365993426219317E-3</c:v>
                </c:pt>
                <c:pt idx="48">
                  <c:v>3.6083598617776012E-2</c:v>
                </c:pt>
                <c:pt idx="49">
                  <c:v>7.4023063402343117E-2</c:v>
                </c:pt>
                <c:pt idx="50">
                  <c:v>0.10891095751571701</c:v>
                </c:pt>
                <c:pt idx="51">
                  <c:v>0.1411167546049229</c:v>
                </c:pt>
                <c:pt idx="52">
                  <c:v>0.17095701865218405</c:v>
                </c:pt>
                <c:pt idx="53">
                  <c:v>0.19870144174909651</c:v>
                </c:pt>
                <c:pt idx="54">
                  <c:v>0.22457798470769597</c:v>
                </c:pt>
                <c:pt idx="55">
                  <c:v>0.24877706096170785</c:v>
                </c:pt>
                <c:pt idx="56">
                  <c:v>0.2714547468939057</c:v>
                </c:pt>
                <c:pt idx="57">
                  <c:v>0.29273501107182404</c:v>
                </c:pt>
                <c:pt idx="58">
                  <c:v>0.31271094255021287</c:v>
                </c:pt>
                <c:pt idx="59">
                  <c:v>0.33144493064005148</c:v>
                </c:pt>
                <c:pt idx="60">
                  <c:v>0.34896770807591515</c:v>
                </c:pt>
                <c:pt idx="61">
                  <c:v>0.36527611674725485</c:v>
                </c:pt>
                <c:pt idx="62">
                  <c:v>0.38032938898304824</c:v>
                </c:pt>
                <c:pt idx="63">
                  <c:v>0.39404365580989142</c:v>
                </c:pt>
              </c:numCache>
            </c:numRef>
          </c:xVal>
          <c:yVal>
            <c:numRef>
              <c:f>Rosettenbahn!$Q$3:$Q$66</c:f>
              <c:numCache>
                <c:formatCode>0.000</c:formatCode>
                <c:ptCount val="64"/>
                <c:pt idx="0">
                  <c:v>0</c:v>
                </c:pt>
                <c:pt idx="1">
                  <c:v>3.5028152528288593E-2</c:v>
                </c:pt>
                <c:pt idx="2">
                  <c:v>7.0225417016421779E-2</c:v>
                </c:pt>
                <c:pt idx="3">
                  <c:v>0.10576186557297185</c:v>
                </c:pt>
                <c:pt idx="4">
                  <c:v>0.1418093752301374</c:v>
                </c:pt>
                <c:pt idx="5">
                  <c:v>0.17854222197752803</c:v>
                </c:pt>
                <c:pt idx="6">
                  <c:v>0.21613724575174473</c:v>
                </c:pt>
                <c:pt idx="7">
                  <c:v>0.25477333590887508</c:v>
                </c:pt>
                <c:pt idx="8">
                  <c:v>0.2946298748643964</c:v>
                </c:pt>
                <c:pt idx="9">
                  <c:v>0.3358836102608958</c:v>
                </c:pt>
                <c:pt idx="10">
                  <c:v>0.37870318047358364</c:v>
                </c:pt>
                <c:pt idx="11">
                  <c:v>0.42324016322119978</c:v>
                </c:pt>
                <c:pt idx="12">
                  <c:v>0.46961501208050999</c:v>
                </c:pt>
                <c:pt idx="13">
                  <c:v>0.51789554386088665</c:v>
                </c:pt>
                <c:pt idx="14">
                  <c:v>0.56806469896364364</c:v>
                </c:pt>
                <c:pt idx="15">
                  <c:v>0.61997311106715958</c:v>
                </c:pt>
                <c:pt idx="16">
                  <c:v>0.67327069541380247</c:v>
                </c:pt>
                <c:pt idx="17">
                  <c:v>0.72731036498931168</c:v>
                </c:pt>
                <c:pt idx="18">
                  <c:v>0.78101704025368657</c:v>
                </c:pt>
                <c:pt idx="19">
                  <c:v>0.83271831756513071</c:v>
                </c:pt>
                <c:pt idx="20">
                  <c:v>0.8799432038748396</c:v>
                </c:pt>
                <c:pt idx="21">
                  <c:v>0.91921799749689048</c:v>
                </c:pt>
                <c:pt idx="22">
                  <c:v>0.94593018502142934</c:v>
                </c:pt>
                <c:pt idx="23">
                  <c:v>0.9543929125354903</c:v>
                </c:pt>
                <c:pt idx="24">
                  <c:v>0.93830375035379598</c:v>
                </c:pt>
                <c:pt idx="25">
                  <c:v>0.89178887239426907</c:v>
                </c:pt>
                <c:pt idx="26">
                  <c:v>0.81105229164284254</c:v>
                </c:pt>
                <c:pt idx="27">
                  <c:v>0.69624706748147136</c:v>
                </c:pt>
                <c:pt idx="28">
                  <c:v>0.55271439495705577</c:v>
                </c:pt>
                <c:pt idx="29">
                  <c:v>0.39065797834938437</c:v>
                </c:pt>
                <c:pt idx="30">
                  <c:v>0.22300913945972095</c:v>
                </c:pt>
                <c:pt idx="31">
                  <c:v>6.2345354929352163E-2</c:v>
                </c:pt>
                <c:pt idx="32">
                  <c:v>-8.1708029298958249E-2</c:v>
                </c:pt>
                <c:pt idx="33">
                  <c:v>-0.20363413786331122</c:v>
                </c:pt>
                <c:pt idx="34">
                  <c:v>-0.30174671955706178</c:v>
                </c:pt>
                <c:pt idx="35">
                  <c:v>-0.37711342806456521</c:v>
                </c:pt>
                <c:pt idx="36">
                  <c:v>-0.43234775653964336</c:v>
                </c:pt>
                <c:pt idx="37">
                  <c:v>-0.47065125247103756</c:v>
                </c:pt>
                <c:pt idx="38">
                  <c:v>-0.4952049388263296</c:v>
                </c:pt>
                <c:pt idx="39">
                  <c:v>-0.50885531002242834</c:v>
                </c:pt>
                <c:pt idx="40">
                  <c:v>-0.51399724042188355</c:v>
                </c:pt>
                <c:pt idx="41">
                  <c:v>-0.51256812285155795</c:v>
                </c:pt>
                <c:pt idx="42">
                  <c:v>-0.50609462783928194</c:v>
                </c:pt>
                <c:pt idx="43">
                  <c:v>-0.49575766227235668</c:v>
                </c:pt>
                <c:pt idx="44">
                  <c:v>-0.48245777583637578</c:v>
                </c:pt>
                <c:pt idx="45">
                  <c:v>-0.46687322418847099</c:v>
                </c:pt>
                <c:pt idx="46">
                  <c:v>-0.44950824524504523</c:v>
                </c:pt>
                <c:pt idx="47">
                  <c:v>-0.43073167779339472</c:v>
                </c:pt>
                <c:pt idx="48">
                  <c:v>-0.41080710300300283</c:v>
                </c:pt>
                <c:pt idx="49">
                  <c:v>-0.38991597318309906</c:v>
                </c:pt>
                <c:pt idx="50">
                  <c:v>-0.36817512622656812</c:v>
                </c:pt>
                <c:pt idx="51">
                  <c:v>-0.34564988509094907</c:v>
                </c:pt>
                <c:pt idx="52">
                  <c:v>-0.32236371362648769</c:v>
                </c:pt>
                <c:pt idx="53">
                  <c:v>-0.29830518820640073</c:v>
                </c:pt>
                <c:pt idx="54">
                  <c:v>-0.27343286469263256</c:v>
                </c:pt>
                <c:pt idx="55">
                  <c:v>-0.24767847445011953</c:v>
                </c:pt>
                <c:pt idx="56">
                  <c:v>-0.22094876805998431</c:v>
                </c:pt>
                <c:pt idx="57">
                  <c:v>-0.19312623615855712</c:v>
                </c:pt>
                <c:pt idx="58">
                  <c:v>-0.16406886878924487</c:v>
                </c:pt>
                <c:pt idx="59">
                  <c:v>-0.13360906424873223</c:v>
                </c:pt>
                <c:pt idx="60">
                  <c:v>-0.10155176364343906</c:v>
                </c:pt>
                <c:pt idx="61">
                  <c:v>-6.767186820606344E-2</c:v>
                </c:pt>
                <c:pt idx="62">
                  <c:v>-3.1710995349763835E-2</c:v>
                </c:pt>
                <c:pt idx="63">
                  <c:v>6.6263475397273786E-3</c:v>
                </c:pt>
              </c:numCache>
            </c:numRef>
          </c:yVal>
          <c:smooth val="1"/>
        </c:ser>
        <c:ser>
          <c:idx val="1"/>
          <c:order val="2"/>
          <c:tx>
            <c:v>Gestörte Bahn, 2. Umlauf</c:v>
          </c:tx>
          <c:spPr>
            <a:ln w="28575">
              <a:prstDash val="sysDash"/>
              <a:headEnd type="none" w="med" len="med"/>
              <a:tailEnd type="arrow" w="med" len="med"/>
            </a:ln>
          </c:spPr>
          <c:marker>
            <c:symbol val="none"/>
          </c:marker>
          <c:dPt>
            <c:idx val="21"/>
            <c:marker>
              <c:symbol val="circle"/>
              <c:size val="7"/>
            </c:marker>
            <c:bubble3D val="0"/>
          </c:dPt>
          <c:xVal>
            <c:numRef>
              <c:f>Rosettenbahn!$P$66:$P$129</c:f>
              <c:numCache>
                <c:formatCode>0.000</c:formatCode>
                <c:ptCount val="64"/>
                <c:pt idx="0">
                  <c:v>0.39404365580989142</c:v>
                </c:pt>
                <c:pt idx="1">
                  <c:v>0.40628429458023552</c:v>
                </c:pt>
                <c:pt idx="2">
                  <c:v>0.41685561108580343</c:v>
                </c:pt>
                <c:pt idx="3">
                  <c:v>0.42548721870384426</c:v>
                </c:pt>
                <c:pt idx="4">
                  <c:v>0.43181634085089587</c:v>
                </c:pt>
                <c:pt idx="5">
                  <c:v>0.43536515231523132</c:v>
                </c:pt>
                <c:pt idx="6">
                  <c:v>0.43551225349847039</c:v>
                </c:pt>
                <c:pt idx="7">
                  <c:v>0.431457566485279</c:v>
                </c:pt>
                <c:pt idx="8">
                  <c:v>0.42218059354046472</c:v>
                </c:pt>
                <c:pt idx="9">
                  <c:v>0.40639351786283251</c:v>
                </c:pt>
                <c:pt idx="10">
                  <c:v>0.3824937800226727</c:v>
                </c:pt>
                <c:pt idx="11">
                  <c:v>0.34852665758786544</c:v>
                </c:pt>
                <c:pt idx="12">
                  <c:v>0.30217851406710933</c:v>
                </c:pt>
                <c:pt idx="13">
                  <c:v>0.24083716608711406</c:v>
                </c:pt>
                <c:pt idx="14">
                  <c:v>0.16177686781072123</c:v>
                </c:pt>
                <c:pt idx="15">
                  <c:v>6.254557031088856E-2</c:v>
                </c:pt>
                <c:pt idx="16">
                  <c:v>-5.8367511811630496E-2</c:v>
                </c:pt>
                <c:pt idx="17">
                  <c:v>-0.20056334464264727</c:v>
                </c:pt>
                <c:pt idx="18">
                  <c:v>-0.36060564037035386</c:v>
                </c:pt>
                <c:pt idx="19">
                  <c:v>-0.53114998346493092</c:v>
                </c:pt>
                <c:pt idx="20">
                  <c:v>-0.70099198224136727</c:v>
                </c:pt>
                <c:pt idx="21">
                  <c:v>-0.85660237482860602</c:v>
                </c:pt>
                <c:pt idx="22">
                  <c:v>-0.98503234847958188</c:v>
                </c:pt>
                <c:pt idx="23">
                  <c:v>-1.0770937637535742</c:v>
                </c:pt>
                <c:pt idx="24">
                  <c:v>-1.129311428446196</c:v>
                </c:pt>
                <c:pt idx="25">
                  <c:v>-1.143838410529447</c:v>
                </c:pt>
                <c:pt idx="26">
                  <c:v>-1.1267442356725417</c:v>
                </c:pt>
                <c:pt idx="27">
                  <c:v>-1.0857828482570431</c:v>
                </c:pt>
                <c:pt idx="28">
                  <c:v>-1.0285778422214527</c:v>
                </c:pt>
                <c:pt idx="29">
                  <c:v>-0.96158599199886263</c:v>
                </c:pt>
                <c:pt idx="30">
                  <c:v>-0.88974526192342573</c:v>
                </c:pt>
                <c:pt idx="31">
                  <c:v>-0.81654569367971941</c:v>
                </c:pt>
                <c:pt idx="32">
                  <c:v>-0.74428692869616686</c:v>
                </c:pt>
                <c:pt idx="33">
                  <c:v>-0.67437368182882429</c:v>
                </c:pt>
                <c:pt idx="34">
                  <c:v>-0.60757798835446064</c:v>
                </c:pt>
                <c:pt idx="35">
                  <c:v>-0.54424531930370312</c:v>
                </c:pt>
                <c:pt idx="36">
                  <c:v>-0.48444542109931332</c:v>
                </c:pt>
                <c:pt idx="37">
                  <c:v>-0.42807761357119339</c:v>
                </c:pt>
                <c:pt idx="38">
                  <c:v>-0.37494179116947079</c:v>
                </c:pt>
                <c:pt idx="39">
                  <c:v>-0.32478493451088825</c:v>
                </c:pt>
                <c:pt idx="40">
                  <c:v>-0.27733073125832514</c:v>
                </c:pt>
                <c:pt idx="41">
                  <c:v>-0.23229783059235667</c:v>
                </c:pt>
                <c:pt idx="42">
                  <c:v>-0.18941059550311007</c:v>
                </c:pt>
                <c:pt idx="43">
                  <c:v>-0.1484049894252199</c:v>
                </c:pt>
                <c:pt idx="44">
                  <c:v>-0.10903136582062574</c:v>
                </c:pt>
                <c:pt idx="45">
                  <c:v>-7.10553329344384E-2</c:v>
                </c:pt>
                <c:pt idx="46">
                  <c:v>-3.4257464148261675E-2</c:v>
                </c:pt>
                <c:pt idx="47">
                  <c:v>1.5676420384771296E-3</c:v>
                </c:pt>
                <c:pt idx="48">
                  <c:v>3.6612621961990333E-2</c:v>
                </c:pt>
                <c:pt idx="49">
                  <c:v>7.1058706470210162E-2</c:v>
                </c:pt>
                <c:pt idx="50">
                  <c:v>0.10507702662270335</c:v>
                </c:pt>
                <c:pt idx="51">
                  <c:v>0.13882974712529958</c:v>
                </c:pt>
                <c:pt idx="52">
                  <c:v>0.17247092103240502</c:v>
                </c:pt>
                <c:pt idx="53">
                  <c:v>0.20614695119079382</c:v>
                </c:pt>
                <c:pt idx="54">
                  <c:v>0.23999651658942159</c:v>
                </c:pt>
                <c:pt idx="55">
                  <c:v>0.27414977307194432</c:v>
                </c:pt>
                <c:pt idx="56">
                  <c:v>0.30872656276927241</c:v>
                </c:pt>
                <c:pt idx="57">
                  <c:v>0.34383325692425271</c:v>
                </c:pt>
                <c:pt idx="58">
                  <c:v>0.37955770056139687</c:v>
                </c:pt>
                <c:pt idx="59">
                  <c:v>0.41596150846599844</c:v>
                </c:pt>
                <c:pt idx="60">
                  <c:v>0.45306865964606197</c:v>
                </c:pt>
                <c:pt idx="61">
                  <c:v>0.49084892868946772</c:v>
                </c:pt>
                <c:pt idx="62">
                  <c:v>0.52919415720902796</c:v>
                </c:pt>
                <c:pt idx="63">
                  <c:v>0.56788470512325351</c:v>
                </c:pt>
              </c:numCache>
            </c:numRef>
          </c:xVal>
          <c:yVal>
            <c:numRef>
              <c:f>Rosettenbahn!$Q$66:$Q$129</c:f>
              <c:numCache>
                <c:formatCode>0.000</c:formatCode>
                <c:ptCount val="64"/>
                <c:pt idx="0">
                  <c:v>6.6263475397273786E-3</c:v>
                </c:pt>
                <c:pt idx="1">
                  <c:v>4.767703433895569E-2</c:v>
                </c:pt>
                <c:pt idx="2">
                  <c:v>9.1823786958455653E-2</c:v>
                </c:pt>
                <c:pt idx="3">
                  <c:v>0.13949939140615411</c:v>
                </c:pt>
                <c:pt idx="4">
                  <c:v>0.19118988757811262</c:v>
                </c:pt>
                <c:pt idx="5">
                  <c:v>0.24743542138922714</c:v>
                </c:pt>
                <c:pt idx="6">
                  <c:v>0.308826595213401</c:v>
                </c:pt>
                <c:pt idx="7">
                  <c:v>0.37599282594473327</c:v>
                </c:pt>
                <c:pt idx="8">
                  <c:v>0.44957721236477971</c:v>
                </c:pt>
                <c:pt idx="9">
                  <c:v>0.53018949330671561</c:v>
                </c:pt>
                <c:pt idx="10">
                  <c:v>0.61832468970209453</c:v>
                </c:pt>
                <c:pt idx="11">
                  <c:v>0.7142301619139183</c:v>
                </c:pt>
                <c:pt idx="12">
                  <c:v>0.81769924930633753</c:v>
                </c:pt>
                <c:pt idx="13">
                  <c:v>0.92776875292241556</c:v>
                </c:pt>
                <c:pt idx="14">
                  <c:v>1.0423077284654596</c:v>
                </c:pt>
                <c:pt idx="15">
                  <c:v>1.1575197147071723</c:v>
                </c:pt>
                <c:pt idx="16">
                  <c:v>1.2674570959143527</c:v>
                </c:pt>
                <c:pt idx="17">
                  <c:v>1.3637728720640394</c:v>
                </c:pt>
                <c:pt idx="18">
                  <c:v>1.4360752699812946</c:v>
                </c:pt>
                <c:pt idx="19">
                  <c:v>1.4732768923788253</c:v>
                </c:pt>
                <c:pt idx="20">
                  <c:v>1.4660388693562063</c:v>
                </c:pt>
                <c:pt idx="21">
                  <c:v>1.4097197163677759</c:v>
                </c:pt>
                <c:pt idx="22">
                  <c:v>1.3065117687382368</c:v>
                </c:pt>
                <c:pt idx="23">
                  <c:v>1.1654503758395613</c:v>
                </c:pt>
                <c:pt idx="24">
                  <c:v>1.0000695690589336</c:v>
                </c:pt>
                <c:pt idx="25">
                  <c:v>0.82487549591670228</c:v>
                </c:pt>
                <c:pt idx="26">
                  <c:v>0.65229881559901393</c:v>
                </c:pt>
                <c:pt idx="27">
                  <c:v>0.49111658502001188</c:v>
                </c:pt>
                <c:pt idx="28">
                  <c:v>0.34632270095317097</c:v>
                </c:pt>
                <c:pt idx="29">
                  <c:v>0.21985866702182055</c:v>
                </c:pt>
                <c:pt idx="30">
                  <c:v>0.11160039035520966</c:v>
                </c:pt>
                <c:pt idx="31">
                  <c:v>2.0236478711356528E-2</c:v>
                </c:pt>
                <c:pt idx="32">
                  <c:v>-5.6092617798252149E-2</c:v>
                </c:pt>
                <c:pt idx="33">
                  <c:v>-0.11938950257478917</c:v>
                </c:pt>
                <c:pt idx="34">
                  <c:v>-0.17157294303761367</c:v>
                </c:pt>
                <c:pt idx="35">
                  <c:v>-0.21436900128223335</c:v>
                </c:pt>
                <c:pt idx="36">
                  <c:v>-0.24927280042496433</c:v>
                </c:pt>
                <c:pt idx="37">
                  <c:v>-0.27754875575171822</c:v>
                </c:pt>
                <c:pt idx="38">
                  <c:v>-0.30024937559273029</c:v>
                </c:pt>
                <c:pt idx="39">
                  <c:v>-0.31824119489821406</c:v>
                </c:pt>
                <c:pt idx="40">
                  <c:v>-0.33223172633454173</c:v>
                </c:pt>
                <c:pt idx="41">
                  <c:v>-0.34279445515539214</c:v>
                </c:pt>
                <c:pt idx="42">
                  <c:v>-0.35039065937522884</c:v>
                </c:pt>
                <c:pt idx="43">
                  <c:v>-0.35538776058504451</c:v>
                </c:pt>
                <c:pt idx="44">
                  <c:v>-0.35807435755753675</c:v>
                </c:pt>
                <c:pt idx="45">
                  <c:v>-0.35867227894147702</c:v>
                </c:pt>
                <c:pt idx="46">
                  <c:v>-0.35734603740723181</c:v>
                </c:pt>
                <c:pt idx="47">
                  <c:v>-0.35421004553293567</c:v>
                </c:pt>
                <c:pt idx="48">
                  <c:v>-0.34933390141737125</c:v>
                </c:pt>
                <c:pt idx="49">
                  <c:v>-0.34274598908162646</c:v>
                </c:pt>
                <c:pt idx="50">
                  <c:v>-0.33443557462675361</c:v>
                </c:pt>
                <c:pt idx="51">
                  <c:v>-0.32435351785337391</c:v>
                </c:pt>
                <c:pt idx="52">
                  <c:v>-0.31241166190442565</c:v>
                </c:pt>
                <c:pt idx="53">
                  <c:v>-0.29848091064879773</c:v>
                </c:pt>
                <c:pt idx="54">
                  <c:v>-0.28238795515587634</c:v>
                </c:pt>
                <c:pt idx="55">
                  <c:v>-0.2639105678268247</c:v>
                </c:pt>
                <c:pt idx="56">
                  <c:v>-0.24277134871768949</c:v>
                </c:pt>
                <c:pt idx="57">
                  <c:v>-0.2186297902193472</c:v>
                </c:pt>
                <c:pt idx="58">
                  <c:v>-0.19107253690151854</c:v>
                </c:pt>
                <c:pt idx="59">
                  <c:v>-0.15960178123574859</c:v>
                </c:pt>
                <c:pt idx="60">
                  <c:v>-0.12362189551713294</c:v>
                </c:pt>
                <c:pt idx="61">
                  <c:v>-8.2424727831970246E-2</c:v>
                </c:pt>
                <c:pt idx="62">
                  <c:v>-3.5174605234016325E-2</c:v>
                </c:pt>
                <c:pt idx="63">
                  <c:v>1.9104816396695624E-2</c:v>
                </c:pt>
              </c:numCache>
            </c:numRef>
          </c:yVal>
          <c:smooth val="1"/>
        </c:ser>
        <c:ser>
          <c:idx val="2"/>
          <c:order val="4"/>
          <c:tx>
            <c:v>Ungestörte Keplerbahn</c:v>
          </c:tx>
          <c:spPr>
            <a:ln w="9525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Rosettenbahn!$J$3:$J$66</c:f>
              <c:numCache>
                <c:formatCode>0.000</c:formatCode>
                <c:ptCount val="64"/>
                <c:pt idx="0">
                  <c:v>0.35</c:v>
                </c:pt>
                <c:pt idx="1">
                  <c:v>0.3489381877771926</c:v>
                </c:pt>
                <c:pt idx="2">
                  <c:v>0.34573823254426672</c:v>
                </c:pt>
                <c:pt idx="3">
                  <c:v>0.34035624276205362</c:v>
                </c:pt>
                <c:pt idx="4">
                  <c:v>0.33271793892807278</c:v>
                </c:pt>
                <c:pt idx="5">
                  <c:v>0.32271693755530828</c:v>
                </c:pt>
                <c:pt idx="6">
                  <c:v>0.31021229936078043</c:v>
                </c:pt>
                <c:pt idx="7">
                  <c:v>0.29502529727162569</c:v>
                </c:pt>
                <c:pt idx="8">
                  <c:v>0.27693535618623155</c:v>
                </c:pt>
                <c:pt idx="9">
                  <c:v>0.25567512325935776</c:v>
                </c:pt>
                <c:pt idx="10">
                  <c:v>0.23092465227127226</c:v>
                </c:pt>
                <c:pt idx="11">
                  <c:v>0.20230474046860286</c:v>
                </c:pt>
                <c:pt idx="12">
                  <c:v>0.16936956038475923</c:v>
                </c:pt>
                <c:pt idx="13">
                  <c:v>0.13159891277122707</c:v>
                </c:pt>
                <c:pt idx="14">
                  <c:v>8.8390736421429902E-2</c:v>
                </c:pt>
                <c:pt idx="15">
                  <c:v>3.9055016296559934E-2</c:v>
                </c:pt>
                <c:pt idx="16">
                  <c:v>-1.71889653541713E-2</c:v>
                </c:pt>
                <c:pt idx="17">
                  <c:v>-8.1208848955021118E-2</c:v>
                </c:pt>
                <c:pt idx="18">
                  <c:v>-0.15394384654540585</c:v>
                </c:pt>
                <c:pt idx="19">
                  <c:v>-0.23637012098492155</c:v>
                </c:pt>
                <c:pt idx="20">
                  <c:v>-0.32943563689748218</c:v>
                </c:pt>
                <c:pt idx="21">
                  <c:v>-0.43394896407780231</c:v>
                </c:pt>
                <c:pt idx="22">
                  <c:v>-0.5504025182008403</c:v>
                </c:pt>
                <c:pt idx="23">
                  <c:v>-0.67870952594936851</c:v>
                </c:pt>
                <c:pt idx="24">
                  <c:v>-0.81784080725313757</c:v>
                </c:pt>
                <c:pt idx="25">
                  <c:v>-0.9653709303359862</c:v>
                </c:pt>
                <c:pt idx="26">
                  <c:v>-1.1169939832693612</c:v>
                </c:pt>
                <c:pt idx="27">
                  <c:v>-1.2661518787648869</c:v>
                </c:pt>
                <c:pt idx="28">
                  <c:v>-1.4040142168816405</c:v>
                </c:pt>
                <c:pt idx="29">
                  <c:v>-1.5200949029714539</c:v>
                </c:pt>
                <c:pt idx="30">
                  <c:v>-1.6036825954850777</c:v>
                </c:pt>
                <c:pt idx="31">
                  <c:v>-1.6459293892976312</c:v>
                </c:pt>
                <c:pt idx="32">
                  <c:v>-1.6419864635171129</c:v>
                </c:pt>
                <c:pt idx="33">
                  <c:v>-1.5923172882425463</c:v>
                </c:pt>
                <c:pt idx="34">
                  <c:v>-1.502567928744146</c:v>
                </c:pt>
                <c:pt idx="35">
                  <c:v>-1.3820582134428676</c:v>
                </c:pt>
                <c:pt idx="36">
                  <c:v>-1.2415949599297704</c:v>
                </c:pt>
                <c:pt idx="37">
                  <c:v>-1.0914633153414488</c:v>
                </c:pt>
                <c:pt idx="38">
                  <c:v>-0.94013403889507907</c:v>
                </c:pt>
                <c:pt idx="39">
                  <c:v>-0.79377197104158936</c:v>
                </c:pt>
                <c:pt idx="40">
                  <c:v>-0.65633528147194242</c:v>
                </c:pt>
                <c:pt idx="41">
                  <c:v>-0.52998032886983437</c:v>
                </c:pt>
                <c:pt idx="42">
                  <c:v>-0.41554816406938189</c:v>
                </c:pt>
                <c:pt idx="43">
                  <c:v>-0.31300556260191298</c:v>
                </c:pt>
                <c:pt idx="44">
                  <c:v>-0.2217911429333029</c:v>
                </c:pt>
                <c:pt idx="45">
                  <c:v>-0.14106258432203278</c:v>
                </c:pt>
                <c:pt idx="46">
                  <c:v>-6.986088275248746E-2</c:v>
                </c:pt>
                <c:pt idx="47">
                  <c:v>-7.212533018603415E-3</c:v>
                </c:pt>
                <c:pt idx="48">
                  <c:v>4.7811420015008529E-2</c:v>
                </c:pt>
                <c:pt idx="49">
                  <c:v>9.6064680121770052E-2</c:v>
                </c:pt>
                <c:pt idx="50">
                  <c:v>0.1383127492337205</c:v>
                </c:pt>
                <c:pt idx="51">
                  <c:v>0.1752305382663526</c:v>
                </c:pt>
                <c:pt idx="52">
                  <c:v>0.20740586048903359</c:v>
                </c:pt>
                <c:pt idx="53">
                  <c:v>0.23534586805087607</c:v>
                </c:pt>
                <c:pt idx="54">
                  <c:v>0.25948464834017682</c:v>
                </c:pt>
                <c:pt idx="55">
                  <c:v>0.28019094138147771</c:v>
                </c:pt>
                <c:pt idx="56">
                  <c:v>0.29777540600673458</c:v>
                </c:pt>
                <c:pt idx="57">
                  <c:v>0.31249714684265367</c:v>
                </c:pt>
                <c:pt idx="58">
                  <c:v>0.32456938168134575</c:v>
                </c:pt>
                <c:pt idx="59">
                  <c:v>0.33416422287611769</c:v>
                </c:pt>
                <c:pt idx="60">
                  <c:v>0.34141659506967725</c:v>
                </c:pt>
                <c:pt idx="61">
                  <c:v>0.34642733264085196</c:v>
                </c:pt>
                <c:pt idx="62">
                  <c:v>0.3492655048968506</c:v>
                </c:pt>
                <c:pt idx="63">
                  <c:v>0.34997001210831347</c:v>
                </c:pt>
              </c:numCache>
            </c:numRef>
          </c:xVal>
          <c:yVal>
            <c:numRef>
              <c:f>Rosettenbahn!$K$3:$K$66</c:f>
              <c:numCache>
                <c:formatCode>0.000</c:formatCode>
                <c:ptCount val="64"/>
                <c:pt idx="0">
                  <c:v>0</c:v>
                </c:pt>
                <c:pt idx="1">
                  <c:v>3.5010598648715988E-2</c:v>
                </c:pt>
                <c:pt idx="2">
                  <c:v>7.0084609395753977E-2</c:v>
                </c:pt>
                <c:pt idx="3">
                  <c:v>0.10528452366723615</c:v>
                </c:pt>
                <c:pt idx="4">
                  <c:v>0.14067088833132704</c:v>
                </c:pt>
                <c:pt idx="5">
                  <c:v>0.17630106650122798</c:v>
                </c:pt>
                <c:pt idx="6">
                  <c:v>0.21222765239302191</c:v>
                </c:pt>
                <c:pt idx="7">
                  <c:v>0.24849637983455614</c:v>
                </c:pt>
                <c:pt idx="8">
                  <c:v>0.28514332053982</c:v>
                </c:pt>
                <c:pt idx="9">
                  <c:v>0.32219110759847547</c:v>
                </c:pt>
                <c:pt idx="10">
                  <c:v>0.35964383726052657</c:v>
                </c:pt>
                <c:pt idx="11">
                  <c:v>0.39748019254286954</c:v>
                </c:pt>
                <c:pt idx="12">
                  <c:v>0.43564418948247985</c:v>
                </c:pt>
                <c:pt idx="13">
                  <c:v>0.47403276584316151</c:v>
                </c:pt>
                <c:pt idx="14">
                  <c:v>0.51247921129734919</c:v>
                </c:pt>
                <c:pt idx="15">
                  <c:v>0.55073118584142866</c:v>
                </c:pt>
                <c:pt idx="16">
                  <c:v>0.58842181917702507</c:v>
                </c:pt>
                <c:pt idx="17">
                  <c:v>0.62503220061022924</c:v>
                </c:pt>
                <c:pt idx="18">
                  <c:v>0.65984360949239551</c:v>
                </c:pt>
                <c:pt idx="19">
                  <c:v>0.69187839367904702</c:v>
                </c:pt>
                <c:pt idx="20">
                  <c:v>0.71982999899994504</c:v>
                </c:pt>
                <c:pt idx="21">
                  <c:v>0.74198613602542174</c:v>
                </c:pt>
                <c:pt idx="22">
                  <c:v>0.75615567000791983</c:v>
                </c:pt>
                <c:pt idx="23">
                  <c:v>0.75962096021743808</c:v>
                </c:pt>
                <c:pt idx="24">
                  <c:v>0.74915386612191026</c:v>
                </c:pt>
                <c:pt idx="25">
                  <c:v>0.72115361006700973</c:v>
                </c:pt>
                <c:pt idx="26">
                  <c:v>0.67197979717648471</c:v>
                </c:pt>
                <c:pt idx="27">
                  <c:v>0.5985449757328799</c:v>
                </c:pt>
                <c:pt idx="28">
                  <c:v>0.49916893816378544</c:v>
                </c:pt>
                <c:pt idx="29">
                  <c:v>0.37455958344145696</c:v>
                </c:pt>
                <c:pt idx="30">
                  <c:v>0.22859941017478111</c:v>
                </c:pt>
                <c:pt idx="31">
                  <c:v>6.849807486674396E-2</c:v>
                </c:pt>
                <c:pt idx="32">
                  <c:v>-9.6013277492300098E-2</c:v>
                </c:pt>
                <c:pt idx="33">
                  <c:v>-0.25436591572230349</c:v>
                </c:pt>
                <c:pt idx="34">
                  <c:v>-0.39715409826844167</c:v>
                </c:pt>
                <c:pt idx="35">
                  <c:v>-0.51769916061894306</c:v>
                </c:pt>
                <c:pt idx="36">
                  <c:v>-0.6126858048422843</c:v>
                </c:pt>
                <c:pt idx="37">
                  <c:v>-0.68187323348806383</c:v>
                </c:pt>
                <c:pt idx="38">
                  <c:v>-0.72724641167659421</c:v>
                </c:pt>
                <c:pt idx="39">
                  <c:v>-0.75203913179300463</c:v>
                </c:pt>
                <c:pt idx="40">
                  <c:v>-0.75991895724511804</c:v>
                </c:pt>
                <c:pt idx="41">
                  <c:v>-0.75444103371827109</c:v>
                </c:pt>
                <c:pt idx="42">
                  <c:v>-0.73875312141683047</c:v>
                </c:pt>
                <c:pt idx="43">
                  <c:v>-0.715483100877642</c:v>
                </c:pt>
                <c:pt idx="44">
                  <c:v>-0.68673719020187252</c:v>
                </c:pt>
                <c:pt idx="45">
                  <c:v>-0.65415404397439203</c:v>
                </c:pt>
                <c:pt idx="46">
                  <c:v>-0.6189796395514009</c:v>
                </c:pt>
                <c:pt idx="47">
                  <c:v>-0.58214346792558092</c:v>
                </c:pt>
                <c:pt idx="48">
                  <c:v>-0.54432683266655879</c:v>
                </c:pt>
                <c:pt idx="49">
                  <c:v>-0.50602003641229221</c:v>
                </c:pt>
                <c:pt idx="50">
                  <c:v>-0.46756832433981615</c:v>
                </c:pt>
                <c:pt idx="51">
                  <c:v>-0.42920782571679827</c:v>
                </c:pt>
                <c:pt idx="52">
                  <c:v>-0.39109317618114603</c:v>
                </c:pt>
                <c:pt idx="53">
                  <c:v>-0.3533184905178704</c:v>
                </c:pt>
                <c:pt idx="54">
                  <c:v>-0.31593315271647593</c:v>
                </c:pt>
                <c:pt idx="55">
                  <c:v>-0.27895363281419666</c:v>
                </c:pt>
                <c:pt idx="56">
                  <c:v>-0.24237229176715774</c:v>
                </c:pt>
                <c:pt idx="57">
                  <c:v>-0.20616392128511785</c:v>
                </c:pt>
                <c:pt idx="58">
                  <c:v>-0.1702905912463625</c:v>
                </c:pt>
                <c:pt idx="59">
                  <c:v>-0.13470524058903119</c:v>
                </c:pt>
                <c:pt idx="60">
                  <c:v>-9.9354343006777868E-2</c:v>
                </c:pt>
                <c:pt idx="61">
                  <c:v>-6.4179900416733215E-2</c:v>
                </c:pt>
                <c:pt idx="62">
                  <c:v>-2.9120959679796391E-2</c:v>
                </c:pt>
                <c:pt idx="63">
                  <c:v>5.8851929082474799E-3</c:v>
                </c:pt>
              </c:numCache>
            </c:numRef>
          </c:yVal>
          <c:smooth val="1"/>
        </c:ser>
        <c:ser>
          <c:idx val="3"/>
          <c:order val="5"/>
          <c:tx>
            <c:v>Erde</c:v>
          </c:tx>
          <c:spPr>
            <a:ln w="31750"/>
          </c:spPr>
          <c:marker>
            <c:symbol val="circle"/>
            <c:size val="12"/>
            <c:spPr>
              <a:solidFill>
                <a:schemeClr val="tx2"/>
              </a:solidFill>
              <a:ln w="28575">
                <a:solidFill>
                  <a:srgbClr val="8064A2">
                    <a:shade val="76000"/>
                    <a:shade val="95000"/>
                    <a:satMod val="10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0.13818253850344178"/>
                  <c:y val="-4.5839904412710061E-2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Zentral-</a:t>
                    </a:r>
                  </a:p>
                  <a:p>
                    <a:r>
                      <a:rPr lang="en-US" sz="1200"/>
                      <a:t>körper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Rosettenbahn!$F$9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Rosettenbahn!$G$9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583168"/>
        <c:axId val="128585088"/>
      </c:scatterChart>
      <c:valAx>
        <c:axId val="128583168"/>
        <c:scaling>
          <c:orientation val="minMax"/>
          <c:max val="1"/>
          <c:min val="-2"/>
        </c:scaling>
        <c:delete val="0"/>
        <c:axPos val="b"/>
        <c:majorGridlines>
          <c:spPr>
            <a:ln w="6350"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i="1"/>
                </a:pPr>
                <a:r>
                  <a:rPr lang="en-US" sz="1100" i="1"/>
                  <a:t>x</a:t>
                </a:r>
              </a:p>
            </c:rich>
          </c:tx>
          <c:layout>
            <c:manualLayout>
              <c:xMode val="edge"/>
              <c:yMode val="edge"/>
              <c:x val="0.89307224245667416"/>
              <c:y val="0.5119425870688965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  <a:tailEnd type="arrow"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de-DE"/>
          </a:p>
        </c:txPr>
        <c:crossAx val="128585088"/>
        <c:crosses val="autoZero"/>
        <c:crossBetween val="midCat"/>
      </c:valAx>
      <c:valAx>
        <c:axId val="128585088"/>
        <c:scaling>
          <c:orientation val="minMax"/>
          <c:max val="1.5"/>
          <c:min val="-1"/>
        </c:scaling>
        <c:delete val="0"/>
        <c:axPos val="l"/>
        <c:majorGridlines>
          <c:spPr>
            <a:ln w="6350"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00" i="1"/>
                </a:pPr>
                <a:r>
                  <a:rPr lang="de-DE" sz="1100" i="1"/>
                  <a:t>y</a:t>
                </a:r>
              </a:p>
            </c:rich>
          </c:tx>
          <c:layout>
            <c:manualLayout>
              <c:xMode val="edge"/>
              <c:yMode val="edge"/>
              <c:x val="0.65963423926847853"/>
              <c:y val="0.1116791977688643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  <a:tailEnd type="arrow"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de-DE"/>
          </a:p>
        </c:txPr>
        <c:crossAx val="128583168"/>
        <c:crosses val="autoZero"/>
        <c:crossBetween val="midCat"/>
        <c:majorUnit val="0.5"/>
        <c:minorUnit val="0.1"/>
      </c:valAx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4.2256029317090084E-2"/>
          <c:y val="0.79030712563712391"/>
          <c:w val="0.89684405487049967"/>
          <c:h val="0.19384620936807115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  <a:prstDash val="sysDash"/>
        </a:ln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Finsterniskalender 1980 bis 2000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9474123368450933E-2"/>
          <c:y val="7.4611350563771411E-2"/>
          <c:w val="0.91452362327205716"/>
          <c:h val="0.73797786146296929"/>
        </c:manualLayout>
      </c:layout>
      <c:scatterChart>
        <c:scatterStyle val="lineMarker"/>
        <c:varyColors val="0"/>
        <c:ser>
          <c:idx val="0"/>
          <c:order val="0"/>
          <c:tx>
            <c:v> Totale Mondfinsternis</c:v>
          </c:tx>
          <c:spPr>
            <a:ln w="28575">
              <a:noFill/>
            </a:ln>
          </c:spPr>
          <c:marker>
            <c:symbol val="circle"/>
            <c:size val="7"/>
          </c:marker>
          <c:xVal>
            <c:numRef>
              <c:f>Finsternisse!$D$5:$D$33</c:f>
              <c:numCache>
                <c:formatCode>General</c:formatCode>
                <c:ptCount val="29"/>
                <c:pt idx="0">
                  <c:v>199</c:v>
                </c:pt>
                <c:pt idx="1">
                  <c:v>9</c:v>
                </c:pt>
                <c:pt idx="2">
                  <c:v>188</c:v>
                </c:pt>
                <c:pt idx="3">
                  <c:v>365</c:v>
                </c:pt>
                <c:pt idx="4">
                  <c:v>177</c:v>
                </c:pt>
                <c:pt idx="5">
                  <c:v>125</c:v>
                </c:pt>
                <c:pt idx="6">
                  <c:v>302</c:v>
                </c:pt>
                <c:pt idx="7">
                  <c:v>115</c:v>
                </c:pt>
                <c:pt idx="8">
                  <c:v>291</c:v>
                </c:pt>
                <c:pt idx="9">
                  <c:v>281</c:v>
                </c:pt>
                <c:pt idx="10">
                  <c:v>240</c:v>
                </c:pt>
                <c:pt idx="11">
                  <c:v>51</c:v>
                </c:pt>
                <c:pt idx="12">
                  <c:v>230</c:v>
                </c:pt>
                <c:pt idx="13">
                  <c:v>40</c:v>
                </c:pt>
                <c:pt idx="14">
                  <c:v>219</c:v>
                </c:pt>
                <c:pt idx="15">
                  <c:v>356</c:v>
                </c:pt>
                <c:pt idx="16">
                  <c:v>167</c:v>
                </c:pt>
                <c:pt idx="17">
                  <c:v>345</c:v>
                </c:pt>
                <c:pt idx="18">
                  <c:v>156</c:v>
                </c:pt>
                <c:pt idx="19">
                  <c:v>334</c:v>
                </c:pt>
                <c:pt idx="20">
                  <c:v>146</c:v>
                </c:pt>
                <c:pt idx="21">
                  <c:v>106</c:v>
                </c:pt>
                <c:pt idx="22">
                  <c:v>95</c:v>
                </c:pt>
                <c:pt idx="23">
                  <c:v>271</c:v>
                </c:pt>
                <c:pt idx="24">
                  <c:v>84</c:v>
                </c:pt>
                <c:pt idx="25">
                  <c:v>260</c:v>
                </c:pt>
                <c:pt idx="26">
                  <c:v>210</c:v>
                </c:pt>
                <c:pt idx="27">
                  <c:v>21</c:v>
                </c:pt>
                <c:pt idx="28">
                  <c:v>198</c:v>
                </c:pt>
              </c:numCache>
            </c:numRef>
          </c:xVal>
          <c:yVal>
            <c:numRef>
              <c:f>Finsternisse!$E$5:$E$33</c:f>
              <c:numCache>
                <c:formatCode>General</c:formatCode>
                <c:ptCount val="29"/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5">
                  <c:v>1985</c:v>
                </c:pt>
                <c:pt idx="6">
                  <c:v>1985</c:v>
                </c:pt>
                <c:pt idx="7">
                  <c:v>1986</c:v>
                </c:pt>
                <c:pt idx="8">
                  <c:v>1986</c:v>
                </c:pt>
                <c:pt idx="11">
                  <c:v>1989</c:v>
                </c:pt>
                <c:pt idx="12">
                  <c:v>1989</c:v>
                </c:pt>
                <c:pt idx="13">
                  <c:v>1990</c:v>
                </c:pt>
                <c:pt idx="17">
                  <c:v>1992</c:v>
                </c:pt>
                <c:pt idx="18">
                  <c:v>1993</c:v>
                </c:pt>
                <c:pt idx="19">
                  <c:v>1993</c:v>
                </c:pt>
                <c:pt idx="22">
                  <c:v>1996</c:v>
                </c:pt>
                <c:pt idx="23">
                  <c:v>1996</c:v>
                </c:pt>
                <c:pt idx="25">
                  <c:v>1997</c:v>
                </c:pt>
                <c:pt idx="27">
                  <c:v>2000</c:v>
                </c:pt>
                <c:pt idx="28">
                  <c:v>2000</c:v>
                </c:pt>
              </c:numCache>
            </c:numRef>
          </c:yVal>
          <c:smooth val="0"/>
        </c:ser>
        <c:ser>
          <c:idx val="1"/>
          <c:order val="1"/>
          <c:tx>
            <c:v> Partielle Mondfinsternis</c:v>
          </c:tx>
          <c:spPr>
            <a:ln w="28575">
              <a:noFill/>
            </a:ln>
          </c:spPr>
          <c:marker>
            <c:symbol val="x"/>
            <c:size val="6"/>
            <c:spPr>
              <a:noFill/>
              <a:ln w="25400">
                <a:solidFill>
                  <a:schemeClr val="tx2">
                    <a:lumMod val="75000"/>
                  </a:schemeClr>
                </a:solidFill>
              </a:ln>
            </c:spPr>
          </c:marker>
          <c:xVal>
            <c:numRef>
              <c:f>Finsternisse!$D$5:$D$33</c:f>
              <c:numCache>
                <c:formatCode>General</c:formatCode>
                <c:ptCount val="29"/>
                <c:pt idx="0">
                  <c:v>199</c:v>
                </c:pt>
                <c:pt idx="1">
                  <c:v>9</c:v>
                </c:pt>
                <c:pt idx="2">
                  <c:v>188</c:v>
                </c:pt>
                <c:pt idx="3">
                  <c:v>365</c:v>
                </c:pt>
                <c:pt idx="4">
                  <c:v>177</c:v>
                </c:pt>
                <c:pt idx="5">
                  <c:v>125</c:v>
                </c:pt>
                <c:pt idx="6">
                  <c:v>302</c:v>
                </c:pt>
                <c:pt idx="7">
                  <c:v>115</c:v>
                </c:pt>
                <c:pt idx="8">
                  <c:v>291</c:v>
                </c:pt>
                <c:pt idx="9">
                  <c:v>281</c:v>
                </c:pt>
                <c:pt idx="10">
                  <c:v>240</c:v>
                </c:pt>
                <c:pt idx="11">
                  <c:v>51</c:v>
                </c:pt>
                <c:pt idx="12">
                  <c:v>230</c:v>
                </c:pt>
                <c:pt idx="13">
                  <c:v>40</c:v>
                </c:pt>
                <c:pt idx="14">
                  <c:v>219</c:v>
                </c:pt>
                <c:pt idx="15">
                  <c:v>356</c:v>
                </c:pt>
                <c:pt idx="16">
                  <c:v>167</c:v>
                </c:pt>
                <c:pt idx="17">
                  <c:v>345</c:v>
                </c:pt>
                <c:pt idx="18">
                  <c:v>156</c:v>
                </c:pt>
                <c:pt idx="19">
                  <c:v>334</c:v>
                </c:pt>
                <c:pt idx="20">
                  <c:v>146</c:v>
                </c:pt>
                <c:pt idx="21">
                  <c:v>106</c:v>
                </c:pt>
                <c:pt idx="22">
                  <c:v>95</c:v>
                </c:pt>
                <c:pt idx="23">
                  <c:v>271</c:v>
                </c:pt>
                <c:pt idx="24">
                  <c:v>84</c:v>
                </c:pt>
                <c:pt idx="25">
                  <c:v>260</c:v>
                </c:pt>
                <c:pt idx="26">
                  <c:v>210</c:v>
                </c:pt>
                <c:pt idx="27">
                  <c:v>21</c:v>
                </c:pt>
                <c:pt idx="28">
                  <c:v>198</c:v>
                </c:pt>
              </c:numCache>
            </c:numRef>
          </c:xVal>
          <c:yVal>
            <c:numRef>
              <c:f>Finsternisse!$F$5:$F$33</c:f>
              <c:numCache>
                <c:formatCode>General</c:formatCode>
                <c:ptCount val="29"/>
                <c:pt idx="0">
                  <c:v>1981</c:v>
                </c:pt>
                <c:pt idx="4">
                  <c:v>1983</c:v>
                </c:pt>
                <c:pt idx="9">
                  <c:v>1987</c:v>
                </c:pt>
                <c:pt idx="10">
                  <c:v>1988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20">
                  <c:v>1994</c:v>
                </c:pt>
                <c:pt idx="21">
                  <c:v>1995</c:v>
                </c:pt>
                <c:pt idx="24">
                  <c:v>1997</c:v>
                </c:pt>
                <c:pt idx="26">
                  <c:v>1999</c:v>
                </c:pt>
              </c:numCache>
            </c:numRef>
          </c:yVal>
          <c:smooth val="0"/>
        </c:ser>
        <c:ser>
          <c:idx val="2"/>
          <c:order val="2"/>
          <c:tx>
            <c:v> Totale Sonnenfinsternis</c:v>
          </c:tx>
          <c:spPr>
            <a:ln w="25400">
              <a:noFill/>
            </a:ln>
          </c:spPr>
          <c:marker>
            <c:symbol val="diamond"/>
            <c:size val="8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Finsternisse!$J$5:$J$51</c:f>
              <c:numCache>
                <c:formatCode>0</c:formatCode>
                <c:ptCount val="47"/>
                <c:pt idx="0">
                  <c:v>47</c:v>
                </c:pt>
                <c:pt idx="1">
                  <c:v>223</c:v>
                </c:pt>
                <c:pt idx="2">
                  <c:v>35</c:v>
                </c:pt>
                <c:pt idx="3">
                  <c:v>213</c:v>
                </c:pt>
                <c:pt idx="4">
                  <c:v>15</c:v>
                </c:pt>
                <c:pt idx="5">
                  <c:v>173</c:v>
                </c:pt>
                <c:pt idx="6">
                  <c:v>202</c:v>
                </c:pt>
                <c:pt idx="7">
                  <c:v>350</c:v>
                </c:pt>
                <c:pt idx="8">
                  <c:v>163</c:v>
                </c:pt>
                <c:pt idx="9">
                  <c:v>339</c:v>
                </c:pt>
                <c:pt idx="10">
                  <c:v>151</c:v>
                </c:pt>
                <c:pt idx="11">
                  <c:v>327</c:v>
                </c:pt>
                <c:pt idx="12">
                  <c:v>140</c:v>
                </c:pt>
                <c:pt idx="13">
                  <c:v>317</c:v>
                </c:pt>
                <c:pt idx="14">
                  <c:v>100</c:v>
                </c:pt>
                <c:pt idx="15">
                  <c:v>277</c:v>
                </c:pt>
                <c:pt idx="16">
                  <c:v>89</c:v>
                </c:pt>
                <c:pt idx="17">
                  <c:v>267</c:v>
                </c:pt>
                <c:pt idx="18">
                  <c:v>78</c:v>
                </c:pt>
                <c:pt idx="19">
                  <c:v>255</c:v>
                </c:pt>
                <c:pt idx="20">
                  <c:v>67</c:v>
                </c:pt>
                <c:pt idx="21">
                  <c:v>244</c:v>
                </c:pt>
                <c:pt idx="22">
                  <c:v>26</c:v>
                </c:pt>
                <c:pt idx="23">
                  <c:v>204</c:v>
                </c:pt>
                <c:pt idx="24">
                  <c:v>15</c:v>
                </c:pt>
                <c:pt idx="25">
                  <c:v>193</c:v>
                </c:pt>
                <c:pt idx="26">
                  <c:v>4</c:v>
                </c:pt>
                <c:pt idx="27">
                  <c:v>182</c:v>
                </c:pt>
                <c:pt idx="28">
                  <c:v>359</c:v>
                </c:pt>
                <c:pt idx="29">
                  <c:v>142</c:v>
                </c:pt>
                <c:pt idx="30">
                  <c:v>318</c:v>
                </c:pt>
                <c:pt idx="31">
                  <c:v>131</c:v>
                </c:pt>
                <c:pt idx="32">
                  <c:v>308</c:v>
                </c:pt>
                <c:pt idx="33">
                  <c:v>120</c:v>
                </c:pt>
                <c:pt idx="34">
                  <c:v>298</c:v>
                </c:pt>
                <c:pt idx="35">
                  <c:v>108</c:v>
                </c:pt>
                <c:pt idx="36">
                  <c:v>286</c:v>
                </c:pt>
                <c:pt idx="37">
                  <c:v>69</c:v>
                </c:pt>
                <c:pt idx="38">
                  <c:v>245</c:v>
                </c:pt>
                <c:pt idx="39">
                  <c:v>57</c:v>
                </c:pt>
                <c:pt idx="40">
                  <c:v>235</c:v>
                </c:pt>
                <c:pt idx="41">
                  <c:v>321</c:v>
                </c:pt>
                <c:pt idx="42">
                  <c:v>224</c:v>
                </c:pt>
                <c:pt idx="43">
                  <c:v>36</c:v>
                </c:pt>
                <c:pt idx="44">
                  <c:v>183</c:v>
                </c:pt>
                <c:pt idx="45">
                  <c:v>213</c:v>
                </c:pt>
                <c:pt idx="46">
                  <c:v>360</c:v>
                </c:pt>
              </c:numCache>
            </c:numRef>
          </c:xVal>
          <c:yVal>
            <c:numRef>
              <c:f>Finsternisse!$K$5:$K$51</c:f>
              <c:numCache>
                <c:formatCode>General</c:formatCode>
                <c:ptCount val="47"/>
                <c:pt idx="0">
                  <c:v>1980</c:v>
                </c:pt>
                <c:pt idx="3">
                  <c:v>1981</c:v>
                </c:pt>
                <c:pt idx="8">
                  <c:v>1983</c:v>
                </c:pt>
                <c:pt idx="11">
                  <c:v>1984</c:v>
                </c:pt>
                <c:pt idx="13">
                  <c:v>1985</c:v>
                </c:pt>
                <c:pt idx="15">
                  <c:v>1986</c:v>
                </c:pt>
                <c:pt idx="18">
                  <c:v>1988</c:v>
                </c:pt>
                <c:pt idx="23">
                  <c:v>1990</c:v>
                </c:pt>
                <c:pt idx="25">
                  <c:v>1991</c:v>
                </c:pt>
                <c:pt idx="27">
                  <c:v>1992</c:v>
                </c:pt>
                <c:pt idx="32">
                  <c:v>1994</c:v>
                </c:pt>
                <c:pt idx="34">
                  <c:v>1995</c:v>
                </c:pt>
                <c:pt idx="37">
                  <c:v>1997</c:v>
                </c:pt>
                <c:pt idx="39">
                  <c:v>1998</c:v>
                </c:pt>
                <c:pt idx="42">
                  <c:v>1999</c:v>
                </c:pt>
              </c:numCache>
            </c:numRef>
          </c:yVal>
          <c:smooth val="0"/>
        </c:ser>
        <c:ser>
          <c:idx val="3"/>
          <c:order val="3"/>
          <c:tx>
            <c:v> Partielle Sonnenfinsternis</c:v>
          </c:tx>
          <c:spPr>
            <a:ln w="25400">
              <a:noFill/>
            </a:ln>
          </c:spPr>
          <c:marker>
            <c:symbol val="star"/>
            <c:size val="6"/>
            <c:spPr>
              <a:ln w="25400">
                <a:solidFill>
                  <a:srgbClr val="C00000"/>
                </a:solidFill>
              </a:ln>
            </c:spPr>
          </c:marker>
          <c:xVal>
            <c:numRef>
              <c:f>Finsternisse!$J$5:$J$51</c:f>
              <c:numCache>
                <c:formatCode>0</c:formatCode>
                <c:ptCount val="47"/>
                <c:pt idx="0">
                  <c:v>47</c:v>
                </c:pt>
                <c:pt idx="1">
                  <c:v>223</c:v>
                </c:pt>
                <c:pt idx="2">
                  <c:v>35</c:v>
                </c:pt>
                <c:pt idx="3">
                  <c:v>213</c:v>
                </c:pt>
                <c:pt idx="4">
                  <c:v>15</c:v>
                </c:pt>
                <c:pt idx="5">
                  <c:v>173</c:v>
                </c:pt>
                <c:pt idx="6">
                  <c:v>202</c:v>
                </c:pt>
                <c:pt idx="7">
                  <c:v>350</c:v>
                </c:pt>
                <c:pt idx="8">
                  <c:v>163</c:v>
                </c:pt>
                <c:pt idx="9">
                  <c:v>339</c:v>
                </c:pt>
                <c:pt idx="10">
                  <c:v>151</c:v>
                </c:pt>
                <c:pt idx="11">
                  <c:v>327</c:v>
                </c:pt>
                <c:pt idx="12">
                  <c:v>140</c:v>
                </c:pt>
                <c:pt idx="13">
                  <c:v>317</c:v>
                </c:pt>
                <c:pt idx="14">
                  <c:v>100</c:v>
                </c:pt>
                <c:pt idx="15">
                  <c:v>277</c:v>
                </c:pt>
                <c:pt idx="16">
                  <c:v>89</c:v>
                </c:pt>
                <c:pt idx="17">
                  <c:v>267</c:v>
                </c:pt>
                <c:pt idx="18">
                  <c:v>78</c:v>
                </c:pt>
                <c:pt idx="19">
                  <c:v>255</c:v>
                </c:pt>
                <c:pt idx="20">
                  <c:v>67</c:v>
                </c:pt>
                <c:pt idx="21">
                  <c:v>244</c:v>
                </c:pt>
                <c:pt idx="22">
                  <c:v>26</c:v>
                </c:pt>
                <c:pt idx="23">
                  <c:v>204</c:v>
                </c:pt>
                <c:pt idx="24">
                  <c:v>15</c:v>
                </c:pt>
                <c:pt idx="25">
                  <c:v>193</c:v>
                </c:pt>
                <c:pt idx="26">
                  <c:v>4</c:v>
                </c:pt>
                <c:pt idx="27">
                  <c:v>182</c:v>
                </c:pt>
                <c:pt idx="28">
                  <c:v>359</c:v>
                </c:pt>
                <c:pt idx="29">
                  <c:v>142</c:v>
                </c:pt>
                <c:pt idx="30">
                  <c:v>318</c:v>
                </c:pt>
                <c:pt idx="31">
                  <c:v>131</c:v>
                </c:pt>
                <c:pt idx="32">
                  <c:v>308</c:v>
                </c:pt>
                <c:pt idx="33">
                  <c:v>120</c:v>
                </c:pt>
                <c:pt idx="34">
                  <c:v>298</c:v>
                </c:pt>
                <c:pt idx="35">
                  <c:v>108</c:v>
                </c:pt>
                <c:pt idx="36">
                  <c:v>286</c:v>
                </c:pt>
                <c:pt idx="37">
                  <c:v>69</c:v>
                </c:pt>
                <c:pt idx="38">
                  <c:v>245</c:v>
                </c:pt>
                <c:pt idx="39">
                  <c:v>57</c:v>
                </c:pt>
                <c:pt idx="40">
                  <c:v>235</c:v>
                </c:pt>
                <c:pt idx="41">
                  <c:v>321</c:v>
                </c:pt>
                <c:pt idx="42">
                  <c:v>224</c:v>
                </c:pt>
                <c:pt idx="43">
                  <c:v>36</c:v>
                </c:pt>
                <c:pt idx="44">
                  <c:v>183</c:v>
                </c:pt>
                <c:pt idx="45">
                  <c:v>213</c:v>
                </c:pt>
                <c:pt idx="46">
                  <c:v>360</c:v>
                </c:pt>
              </c:numCache>
            </c:numRef>
          </c:xVal>
          <c:yVal>
            <c:numRef>
              <c:f>Finsternisse!$L$5:$L$51</c:f>
              <c:numCache>
                <c:formatCode>General</c:formatCode>
                <c:ptCount val="47"/>
                <c:pt idx="4">
                  <c:v>1982</c:v>
                </c:pt>
                <c:pt idx="5">
                  <c:v>1982</c:v>
                </c:pt>
                <c:pt idx="6">
                  <c:v>1982</c:v>
                </c:pt>
                <c:pt idx="7">
                  <c:v>1982</c:v>
                </c:pt>
                <c:pt idx="12">
                  <c:v>1985</c:v>
                </c:pt>
                <c:pt idx="14">
                  <c:v>1986</c:v>
                </c:pt>
                <c:pt idx="20">
                  <c:v>1989</c:v>
                </c:pt>
                <c:pt idx="21">
                  <c:v>1989</c:v>
                </c:pt>
                <c:pt idx="28">
                  <c:v>1992</c:v>
                </c:pt>
                <c:pt idx="29">
                  <c:v>1993</c:v>
                </c:pt>
                <c:pt idx="30">
                  <c:v>1993</c:v>
                </c:pt>
                <c:pt idx="35">
                  <c:v>1996</c:v>
                </c:pt>
                <c:pt idx="36">
                  <c:v>1996</c:v>
                </c:pt>
                <c:pt idx="38">
                  <c:v>1997</c:v>
                </c:pt>
                <c:pt idx="43">
                  <c:v>2000</c:v>
                </c:pt>
                <c:pt idx="44">
                  <c:v>2000</c:v>
                </c:pt>
                <c:pt idx="45">
                  <c:v>2000</c:v>
                </c:pt>
                <c:pt idx="46">
                  <c:v>2000</c:v>
                </c:pt>
              </c:numCache>
            </c:numRef>
          </c:yVal>
          <c:smooth val="0"/>
        </c:ser>
        <c:ser>
          <c:idx val="4"/>
          <c:order val="4"/>
          <c:tx>
            <c:v>Ringförmige Sonnenfinsternis</c:v>
          </c:tx>
          <c:spPr>
            <a:ln w="25400">
              <a:noFill/>
            </a:ln>
          </c:spPr>
          <c:marker>
            <c:symbol val="circle"/>
            <c:size val="8"/>
            <c:spPr>
              <a:noFill/>
              <a:ln w="19050">
                <a:solidFill>
                  <a:srgbClr val="C00000"/>
                </a:solidFill>
              </a:ln>
            </c:spPr>
          </c:marker>
          <c:xVal>
            <c:numRef>
              <c:f>Finsternisse!$J$5:$J$51</c:f>
              <c:numCache>
                <c:formatCode>0</c:formatCode>
                <c:ptCount val="47"/>
                <c:pt idx="0">
                  <c:v>47</c:v>
                </c:pt>
                <c:pt idx="1">
                  <c:v>223</c:v>
                </c:pt>
                <c:pt idx="2">
                  <c:v>35</c:v>
                </c:pt>
                <c:pt idx="3">
                  <c:v>213</c:v>
                </c:pt>
                <c:pt idx="4">
                  <c:v>15</c:v>
                </c:pt>
                <c:pt idx="5">
                  <c:v>173</c:v>
                </c:pt>
                <c:pt idx="6">
                  <c:v>202</c:v>
                </c:pt>
                <c:pt idx="7">
                  <c:v>350</c:v>
                </c:pt>
                <c:pt idx="8">
                  <c:v>163</c:v>
                </c:pt>
                <c:pt idx="9">
                  <c:v>339</c:v>
                </c:pt>
                <c:pt idx="10">
                  <c:v>151</c:v>
                </c:pt>
                <c:pt idx="11">
                  <c:v>327</c:v>
                </c:pt>
                <c:pt idx="12">
                  <c:v>140</c:v>
                </c:pt>
                <c:pt idx="13">
                  <c:v>317</c:v>
                </c:pt>
                <c:pt idx="14">
                  <c:v>100</c:v>
                </c:pt>
                <c:pt idx="15">
                  <c:v>277</c:v>
                </c:pt>
                <c:pt idx="16">
                  <c:v>89</c:v>
                </c:pt>
                <c:pt idx="17">
                  <c:v>267</c:v>
                </c:pt>
                <c:pt idx="18">
                  <c:v>78</c:v>
                </c:pt>
                <c:pt idx="19">
                  <c:v>255</c:v>
                </c:pt>
                <c:pt idx="20">
                  <c:v>67</c:v>
                </c:pt>
                <c:pt idx="21">
                  <c:v>244</c:v>
                </c:pt>
                <c:pt idx="22">
                  <c:v>26</c:v>
                </c:pt>
                <c:pt idx="23">
                  <c:v>204</c:v>
                </c:pt>
                <c:pt idx="24">
                  <c:v>15</c:v>
                </c:pt>
                <c:pt idx="25">
                  <c:v>193</c:v>
                </c:pt>
                <c:pt idx="26">
                  <c:v>4</c:v>
                </c:pt>
                <c:pt idx="27">
                  <c:v>182</c:v>
                </c:pt>
                <c:pt idx="28">
                  <c:v>359</c:v>
                </c:pt>
                <c:pt idx="29">
                  <c:v>142</c:v>
                </c:pt>
                <c:pt idx="30">
                  <c:v>318</c:v>
                </c:pt>
                <c:pt idx="31">
                  <c:v>131</c:v>
                </c:pt>
                <c:pt idx="32">
                  <c:v>308</c:v>
                </c:pt>
                <c:pt idx="33">
                  <c:v>120</c:v>
                </c:pt>
                <c:pt idx="34">
                  <c:v>298</c:v>
                </c:pt>
                <c:pt idx="35">
                  <c:v>108</c:v>
                </c:pt>
                <c:pt idx="36">
                  <c:v>286</c:v>
                </c:pt>
                <c:pt idx="37">
                  <c:v>69</c:v>
                </c:pt>
                <c:pt idx="38">
                  <c:v>245</c:v>
                </c:pt>
                <c:pt idx="39">
                  <c:v>57</c:v>
                </c:pt>
                <c:pt idx="40">
                  <c:v>235</c:v>
                </c:pt>
                <c:pt idx="41">
                  <c:v>321</c:v>
                </c:pt>
                <c:pt idx="42">
                  <c:v>224</c:v>
                </c:pt>
                <c:pt idx="43">
                  <c:v>36</c:v>
                </c:pt>
                <c:pt idx="44">
                  <c:v>183</c:v>
                </c:pt>
                <c:pt idx="45">
                  <c:v>213</c:v>
                </c:pt>
                <c:pt idx="46">
                  <c:v>360</c:v>
                </c:pt>
              </c:numCache>
            </c:numRef>
          </c:xVal>
          <c:yVal>
            <c:numRef>
              <c:f>Finsternisse!$M$5:$M$51</c:f>
              <c:numCache>
                <c:formatCode>General</c:formatCode>
                <c:ptCount val="47"/>
                <c:pt idx="1">
                  <c:v>1980</c:v>
                </c:pt>
                <c:pt idx="2">
                  <c:v>1981</c:v>
                </c:pt>
                <c:pt idx="9">
                  <c:v>1983</c:v>
                </c:pt>
                <c:pt idx="10">
                  <c:v>1984</c:v>
                </c:pt>
                <c:pt idx="16">
                  <c:v>1987</c:v>
                </c:pt>
                <c:pt idx="17">
                  <c:v>1987</c:v>
                </c:pt>
                <c:pt idx="19">
                  <c:v>1988</c:v>
                </c:pt>
                <c:pt idx="22">
                  <c:v>1990</c:v>
                </c:pt>
                <c:pt idx="24">
                  <c:v>1991</c:v>
                </c:pt>
                <c:pt idx="26">
                  <c:v>1992</c:v>
                </c:pt>
                <c:pt idx="31">
                  <c:v>1994</c:v>
                </c:pt>
                <c:pt idx="33">
                  <c:v>1995</c:v>
                </c:pt>
                <c:pt idx="40">
                  <c:v>1998</c:v>
                </c:pt>
                <c:pt idx="41">
                  <c:v>1999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747392"/>
        <c:axId val="128758912"/>
      </c:scatterChart>
      <c:valAx>
        <c:axId val="128747392"/>
        <c:scaling>
          <c:orientation val="minMax"/>
          <c:max val="367"/>
          <c:min val="0"/>
        </c:scaling>
        <c:delete val="0"/>
        <c:axPos val="t"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Tagesnummer im Jahr</a:t>
                </a:r>
              </a:p>
            </c:rich>
          </c:tx>
          <c:layout>
            <c:manualLayout>
              <c:xMode val="edge"/>
              <c:yMode val="edge"/>
              <c:x val="0.7836161660569716"/>
              <c:y val="0.86263355860045066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1"/>
        <c:majorTickMark val="out"/>
        <c:minorTickMark val="none"/>
        <c:tickLblPos val="high"/>
        <c:spPr>
          <a:ln w="19050">
            <a:solidFill>
              <a:schemeClr val="tx1"/>
            </a:solidFill>
            <a:tailEnd type="triangle"/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128758912"/>
        <c:crossesAt val="2000.9"/>
        <c:crossBetween val="midCat"/>
        <c:majorUnit val="20"/>
        <c:minorUnit val="10"/>
      </c:valAx>
      <c:valAx>
        <c:axId val="128758912"/>
        <c:scaling>
          <c:orientation val="maxMin"/>
          <c:max val="2000.9"/>
          <c:min val="1979"/>
        </c:scaling>
        <c:delete val="0"/>
        <c:axPos val="l"/>
        <c:min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Jahr</a:t>
                </a:r>
              </a:p>
            </c:rich>
          </c:tx>
          <c:layout>
            <c:manualLayout>
              <c:xMode val="edge"/>
              <c:yMode val="edge"/>
              <c:x val="7.4395685519911436E-2"/>
              <c:y val="6.1030732362468067E-2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  <a:tailEnd type="triangle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128747392"/>
        <c:crosses val="autoZero"/>
        <c:crossBetween val="midCat"/>
        <c:majorUnit val="2"/>
        <c:minorUnit val="1"/>
      </c:valAx>
    </c:plotArea>
    <c:legend>
      <c:legendPos val="r"/>
      <c:layout>
        <c:manualLayout>
          <c:xMode val="edge"/>
          <c:yMode val="edge"/>
          <c:x val="3.6111740161953346E-3"/>
          <c:y val="0.90304163484581146"/>
          <c:w val="0.98516329841604289"/>
          <c:h val="8.2879238757362694E-2"/>
        </c:manualLayout>
      </c:layout>
      <c:overlay val="0"/>
      <c:spPr>
        <a:solidFill>
          <a:schemeClr val="bg2"/>
        </a:solidFill>
      </c:spPr>
      <c:txPr>
        <a:bodyPr/>
        <a:lstStyle/>
        <a:p>
          <a:pPr>
            <a:defRPr sz="105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906249284284493E-2"/>
          <c:y val="2.181818181818182E-2"/>
          <c:w val="0.8810938423273007"/>
          <c:h val="0.94666666666666666"/>
        </c:manualLayout>
      </c:layout>
      <c:scatterChart>
        <c:scatterStyle val="smoothMarker"/>
        <c:varyColors val="0"/>
        <c:ser>
          <c:idx val="0"/>
          <c:order val="0"/>
          <c:tx>
            <c:v> Mondbahn</c:v>
          </c:tx>
          <c:spPr>
            <a:ln w="19050">
              <a:solidFill>
                <a:schemeClr val="tx2">
                  <a:lumMod val="75000"/>
                </a:schemeClr>
              </a:solidFill>
            </a:ln>
          </c:spPr>
          <c:marker>
            <c:symbol val="circle"/>
            <c:size val="2"/>
            <c:spPr>
              <a:solidFill>
                <a:schemeClr val="accent1">
                  <a:lumMod val="40000"/>
                  <a:lumOff val="60000"/>
                </a:schemeClr>
              </a:solidFill>
              <a:ln w="3175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dLbl>
              <c:idx val="11"/>
              <c:layout>
                <c:manualLayout>
                  <c:x val="-0.28707281563868947"/>
                  <c:y val="0.6714061560486758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chemeClr val="tx2"/>
                        </a:solidFill>
                      </a:defRPr>
                    </a:pPr>
                    <a:r>
                      <a:rPr lang="en-US" sz="1400">
                        <a:solidFill>
                          <a:schemeClr val="tx2"/>
                        </a:solidFill>
                      </a:rPr>
                      <a:t>Mondbahn</a:t>
                    </a:r>
                  </a:p>
                  <a:p>
                    <a:pPr>
                      <a:defRPr>
                        <a:solidFill>
                          <a:schemeClr val="tx2"/>
                        </a:solidFill>
                      </a:defRPr>
                    </a:pPr>
                    <a:r>
                      <a:rPr lang="en-US" sz="1400">
                        <a:solidFill>
                          <a:schemeClr val="tx2"/>
                        </a:solidFill>
                      </a:rPr>
                      <a:t>schematisch</a:t>
                    </a:r>
                    <a:r>
                      <a:rPr lang="en-US" sz="1400" baseline="0">
                        <a:solidFill>
                          <a:schemeClr val="tx2"/>
                        </a:solidFill>
                      </a:rPr>
                      <a:t> </a:t>
                    </a:r>
                    <a:r>
                      <a:rPr lang="en-US" sz="1200" baseline="0">
                        <a:solidFill>
                          <a:schemeClr val="tx2"/>
                        </a:solidFill>
                      </a:rPr>
                      <a:t>(K</a:t>
                    </a:r>
                    <a:r>
                      <a:rPr lang="en-US" sz="1200">
                        <a:solidFill>
                          <a:schemeClr val="tx2"/>
                        </a:solidFill>
                      </a:rPr>
                      <a:t>reisform)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'Vektoren der Störbeschleunigung'!$C$6:$C$47</c:f>
              <c:numCache>
                <c:formatCode>0.00</c:formatCode>
                <c:ptCount val="42"/>
                <c:pt idx="0">
                  <c:v>14</c:v>
                </c:pt>
                <c:pt idx="1">
                  <c:v>13.827636768331928</c:v>
                </c:pt>
                <c:pt idx="2">
                  <c:v>13.314791228132149</c:v>
                </c:pt>
                <c:pt idx="3">
                  <c:v>12.47409133863715</c:v>
                </c:pt>
                <c:pt idx="4">
                  <c:v>11.326237921249264</c:v>
                </c:pt>
                <c:pt idx="5">
                  <c:v>9.8994949366116654</c:v>
                </c:pt>
                <c:pt idx="6">
                  <c:v>8.2289935320946235</c:v>
                </c:pt>
                <c:pt idx="7">
                  <c:v>6.3558669963536554</c:v>
                </c:pt>
                <c:pt idx="8">
                  <c:v>4.3262379212492643</c:v>
                </c:pt>
                <c:pt idx="9">
                  <c:v>2.1900825105632329</c:v>
                </c:pt>
                <c:pt idx="10">
                  <c:v>8.5760391843603401E-16</c:v>
                </c:pt>
                <c:pt idx="11">
                  <c:v>-2.1900825105632316</c:v>
                </c:pt>
                <c:pt idx="12">
                  <c:v>-4.3262379212492625</c:v>
                </c:pt>
                <c:pt idx="13">
                  <c:v>-6.3558669963536536</c:v>
                </c:pt>
                <c:pt idx="14">
                  <c:v>-8.2289935320946217</c:v>
                </c:pt>
                <c:pt idx="15">
                  <c:v>-9.8994949366116636</c:v>
                </c:pt>
                <c:pt idx="16">
                  <c:v>-11.326237921249263</c:v>
                </c:pt>
                <c:pt idx="17">
                  <c:v>-12.474091338637148</c:v>
                </c:pt>
                <c:pt idx="18">
                  <c:v>-13.314791228132149</c:v>
                </c:pt>
                <c:pt idx="19">
                  <c:v>-13.827636768331928</c:v>
                </c:pt>
                <c:pt idx="20">
                  <c:v>-14</c:v>
                </c:pt>
                <c:pt idx="21">
                  <c:v>-13.827636768331928</c:v>
                </c:pt>
                <c:pt idx="22">
                  <c:v>-13.314791228132151</c:v>
                </c:pt>
                <c:pt idx="23">
                  <c:v>-12.47409133863715</c:v>
                </c:pt>
                <c:pt idx="24">
                  <c:v>-11.326237921249266</c:v>
                </c:pt>
                <c:pt idx="25">
                  <c:v>-9.8994949366116671</c:v>
                </c:pt>
                <c:pt idx="26">
                  <c:v>-8.2289935320946253</c:v>
                </c:pt>
                <c:pt idx="27">
                  <c:v>-6.3558669963536572</c:v>
                </c:pt>
                <c:pt idx="28">
                  <c:v>-4.3262379212492661</c:v>
                </c:pt>
                <c:pt idx="29">
                  <c:v>-2.1900825105632347</c:v>
                </c:pt>
                <c:pt idx="30">
                  <c:v>-2.572811755308102E-15</c:v>
                </c:pt>
                <c:pt idx="31">
                  <c:v>2.1900825105632293</c:v>
                </c:pt>
                <c:pt idx="32">
                  <c:v>4.3262379212492608</c:v>
                </c:pt>
                <c:pt idx="33">
                  <c:v>6.3558669963536527</c:v>
                </c:pt>
                <c:pt idx="34">
                  <c:v>8.2289935320946199</c:v>
                </c:pt>
                <c:pt idx="35">
                  <c:v>9.8994949366116636</c:v>
                </c:pt>
                <c:pt idx="36">
                  <c:v>11.326237921249263</c:v>
                </c:pt>
                <c:pt idx="37">
                  <c:v>12.474091338637148</c:v>
                </c:pt>
                <c:pt idx="38">
                  <c:v>13.314791228132149</c:v>
                </c:pt>
                <c:pt idx="39">
                  <c:v>13.827636768331928</c:v>
                </c:pt>
                <c:pt idx="40">
                  <c:v>14</c:v>
                </c:pt>
              </c:numCache>
            </c:numRef>
          </c:xVal>
          <c:yVal>
            <c:numRef>
              <c:f>'Vektoren der Störbeschleunigung'!$D$6:$D$47</c:f>
              <c:numCache>
                <c:formatCode>0.00</c:formatCode>
                <c:ptCount val="42"/>
                <c:pt idx="0">
                  <c:v>0</c:v>
                </c:pt>
                <c:pt idx="1">
                  <c:v>2.190082510563232</c:v>
                </c:pt>
                <c:pt idx="2">
                  <c:v>4.3262379212492634</c:v>
                </c:pt>
                <c:pt idx="3">
                  <c:v>6.3558669963536545</c:v>
                </c:pt>
                <c:pt idx="4">
                  <c:v>8.2289935320946235</c:v>
                </c:pt>
                <c:pt idx="5">
                  <c:v>9.8994949366116636</c:v>
                </c:pt>
                <c:pt idx="6">
                  <c:v>11.326237921249264</c:v>
                </c:pt>
                <c:pt idx="7">
                  <c:v>12.474091338637148</c:v>
                </c:pt>
                <c:pt idx="8">
                  <c:v>13.314791228132149</c:v>
                </c:pt>
                <c:pt idx="9">
                  <c:v>13.827636768331928</c:v>
                </c:pt>
                <c:pt idx="10">
                  <c:v>14</c:v>
                </c:pt>
                <c:pt idx="11">
                  <c:v>13.827636768331928</c:v>
                </c:pt>
                <c:pt idx="12">
                  <c:v>13.314791228132151</c:v>
                </c:pt>
                <c:pt idx="13">
                  <c:v>12.47409133863715</c:v>
                </c:pt>
                <c:pt idx="14">
                  <c:v>11.326237921249264</c:v>
                </c:pt>
                <c:pt idx="15">
                  <c:v>9.8994949366116654</c:v>
                </c:pt>
                <c:pt idx="16">
                  <c:v>8.2289935320946253</c:v>
                </c:pt>
                <c:pt idx="17">
                  <c:v>6.3558669963536563</c:v>
                </c:pt>
                <c:pt idx="18">
                  <c:v>4.3262379212492652</c:v>
                </c:pt>
                <c:pt idx="19">
                  <c:v>2.1900825105632338</c:v>
                </c:pt>
                <c:pt idx="20">
                  <c:v>1.715207836872068E-15</c:v>
                </c:pt>
                <c:pt idx="21">
                  <c:v>-2.1900825105632302</c:v>
                </c:pt>
                <c:pt idx="22">
                  <c:v>-4.3262379212492617</c:v>
                </c:pt>
                <c:pt idx="23">
                  <c:v>-6.3558669963536536</c:v>
                </c:pt>
                <c:pt idx="24">
                  <c:v>-8.2289935320946217</c:v>
                </c:pt>
                <c:pt idx="25">
                  <c:v>-9.8994949366116636</c:v>
                </c:pt>
                <c:pt idx="26">
                  <c:v>-11.326237921249263</c:v>
                </c:pt>
                <c:pt idx="27">
                  <c:v>-12.474091338637148</c:v>
                </c:pt>
                <c:pt idx="28">
                  <c:v>-13.314791228132149</c:v>
                </c:pt>
                <c:pt idx="29">
                  <c:v>-13.827636768331928</c:v>
                </c:pt>
                <c:pt idx="30">
                  <c:v>-14</c:v>
                </c:pt>
                <c:pt idx="31">
                  <c:v>-13.827636768331928</c:v>
                </c:pt>
                <c:pt idx="32">
                  <c:v>-13.314791228132151</c:v>
                </c:pt>
                <c:pt idx="33">
                  <c:v>-12.47409133863715</c:v>
                </c:pt>
                <c:pt idx="34">
                  <c:v>-11.326237921249266</c:v>
                </c:pt>
                <c:pt idx="35">
                  <c:v>-9.8994949366116671</c:v>
                </c:pt>
                <c:pt idx="36">
                  <c:v>-8.228993532094627</c:v>
                </c:pt>
                <c:pt idx="37">
                  <c:v>-6.355866996353658</c:v>
                </c:pt>
                <c:pt idx="38">
                  <c:v>-4.326237921249267</c:v>
                </c:pt>
                <c:pt idx="39">
                  <c:v>-2.1900825105632356</c:v>
                </c:pt>
                <c:pt idx="40">
                  <c:v>-3.430415673744136E-15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389504"/>
        <c:axId val="128391424"/>
      </c:scatterChart>
      <c:scatterChart>
        <c:scatterStyle val="lineMarker"/>
        <c:varyColors val="0"/>
        <c:ser>
          <c:idx val="3"/>
          <c:order val="1"/>
          <c:tx>
            <c:v>Erde</c:v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chemeClr val="tx2"/>
              </a:solidFill>
              <a:ln w="19050">
                <a:solidFill>
                  <a:sysClr val="windowText" lastClr="000000"/>
                </a:solidFill>
              </a:ln>
            </c:spPr>
          </c:marker>
          <c:dLbls>
            <c:dLbl>
              <c:idx val="0"/>
              <c:layout>
                <c:manualLayout>
                  <c:x val="-1.2403547836066647E-2"/>
                  <c:y val="4.1212121212121214E-2"/>
                </c:manualLayout>
              </c:layout>
              <c:tx>
                <c:rich>
                  <a:bodyPr/>
                  <a:lstStyle/>
                  <a:p>
                    <a:pPr>
                      <a:defRPr sz="1200"/>
                    </a:pPr>
                    <a:r>
                      <a:rPr lang="en-US" sz="1200"/>
                      <a:t>Schwerpunkt</a:t>
                    </a:r>
                  </a:p>
                  <a:p>
                    <a:pPr>
                      <a:defRPr sz="1200"/>
                    </a:pPr>
                    <a:r>
                      <a:rPr lang="en-US" sz="1200"/>
                      <a:t>Erde-Mond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'Vektoren der Störbeschleunigung'!$F$49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'Vektoren der Störbeschleunigung'!$G$49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4"/>
          <c:order val="2"/>
          <c:tx>
            <c:v> Vektoren der Störbeschleunigung</c:v>
          </c:tx>
          <c:spPr>
            <a:ln>
              <a:solidFill>
                <a:srgbClr val="C00000"/>
              </a:solidFill>
              <a:headEnd type="triangle"/>
              <a:tailEnd type="none"/>
            </a:ln>
          </c:spPr>
          <c:marker>
            <c:symbol val="none"/>
          </c:marker>
          <c:dLbls>
            <c:dLbl>
              <c:idx val="15"/>
              <c:layout>
                <c:manualLayout>
                  <c:x val="-5.6752397529070027E-2"/>
                  <c:y val="3.5794034836554522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rgbClr val="C00000"/>
                        </a:solidFill>
                      </a:defRPr>
                    </a:pPr>
                    <a:r>
                      <a:rPr lang="en-US" sz="1400" b="0" i="0">
                        <a:solidFill>
                          <a:srgbClr val="C00000"/>
                        </a:solidFill>
                      </a:rPr>
                      <a:t>Betrag</a:t>
                    </a:r>
                  </a:p>
                  <a:p>
                    <a:pPr>
                      <a:defRPr>
                        <a:solidFill>
                          <a:srgbClr val="C00000"/>
                        </a:solidFill>
                      </a:defRPr>
                    </a:pPr>
                    <a:r>
                      <a:rPr lang="en-US" sz="1400" b="1" i="1">
                        <a:solidFill>
                          <a:srgbClr val="C00000"/>
                        </a:solidFill>
                      </a:rPr>
                      <a:t>a</a:t>
                    </a:r>
                    <a:r>
                      <a:rPr lang="en-US" sz="800" b="1">
                        <a:solidFill>
                          <a:srgbClr val="C00000"/>
                        </a:solidFill>
                      </a:rPr>
                      <a:t>0</a:t>
                    </a:r>
                    <a:r>
                      <a:rPr lang="en-US" sz="1400" b="1">
                        <a:solidFill>
                          <a:srgbClr val="C00000"/>
                        </a:solidFill>
                      </a:rPr>
                      <a:t> /2</a:t>
                    </a:r>
                  </a:p>
                </c:rich>
              </c:tx>
              <c:spPr>
                <a:noFill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-5.3316235819136443E-2"/>
                  <c:y val="-2.6418134096874255E-2"/>
                </c:manualLayout>
              </c:layout>
              <c:tx>
                <c:rich>
                  <a:bodyPr/>
                  <a:lstStyle/>
                  <a:p>
                    <a:r>
                      <a:rPr lang="en-US" sz="1400" b="0" i="0">
                        <a:solidFill>
                          <a:srgbClr val="C00000"/>
                        </a:solidFill>
                      </a:rPr>
                      <a:t>Betrag</a:t>
                    </a:r>
                    <a:r>
                      <a:rPr lang="en-US" sz="1400" b="1" i="0">
                        <a:solidFill>
                          <a:srgbClr val="C00000"/>
                        </a:solidFill>
                      </a:rPr>
                      <a:t> </a:t>
                    </a:r>
                    <a:r>
                      <a:rPr lang="en-US" sz="1600" b="1" i="1">
                        <a:solidFill>
                          <a:srgbClr val="C00000"/>
                        </a:solidFill>
                      </a:rPr>
                      <a:t>a</a:t>
                    </a:r>
                    <a:r>
                      <a:rPr lang="en-US" sz="800" b="1">
                        <a:solidFill>
                          <a:srgbClr val="C00000"/>
                        </a:solidFill>
                      </a:rPr>
                      <a:t>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5"/>
              <c:layout>
                <c:manualLayout>
                  <c:x val="2.8475882329888065E-3"/>
                  <c:y val="1.4545263660224289E-2"/>
                </c:manualLayout>
              </c:layout>
              <c:tx>
                <c:rich>
                  <a:bodyPr/>
                  <a:lstStyle/>
                  <a:p>
                    <a:pPr>
                      <a:defRPr sz="1100">
                        <a:solidFill>
                          <a:srgbClr val="C00000"/>
                        </a:solidFill>
                      </a:defRPr>
                    </a:pPr>
                    <a:r>
                      <a:rPr lang="en-US" sz="1100">
                        <a:solidFill>
                          <a:srgbClr val="C00000"/>
                        </a:solidFill>
                      </a:rPr>
                      <a:t>Störbe-</a:t>
                    </a:r>
                  </a:p>
                  <a:p>
                    <a:pPr>
                      <a:defRPr sz="1100">
                        <a:solidFill>
                          <a:srgbClr val="C00000"/>
                        </a:solidFill>
                      </a:defRPr>
                    </a:pPr>
                    <a:r>
                      <a:rPr lang="en-US" sz="1100">
                        <a:solidFill>
                          <a:srgbClr val="C00000"/>
                        </a:solidFill>
                      </a:rPr>
                      <a:t>schleunigung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trendline>
            <c:trendlineType val="linear"/>
            <c:dispRSqr val="0"/>
            <c:dispEq val="0"/>
          </c:trendline>
          <c:xVal>
            <c:numRef>
              <c:f>'Vektoren der Störbeschleunigung'!$I$58:$I$116</c:f>
              <c:numCache>
                <c:formatCode>0.00</c:formatCode>
                <c:ptCount val="59"/>
                <c:pt idx="0">
                  <c:v>18.516262223793511</c:v>
                </c:pt>
                <c:pt idx="1">
                  <c:v>14</c:v>
                </c:pt>
                <c:pt idx="3">
                  <c:v>17.610011845368607</c:v>
                </c:pt>
                <c:pt idx="4">
                  <c:v>13.314791228132149</c:v>
                </c:pt>
                <c:pt idx="6">
                  <c:v>14.979970811351805</c:v>
                </c:pt>
                <c:pt idx="7">
                  <c:v>11.326237921249264</c:v>
                </c:pt>
                <c:pt idx="9">
                  <c:v>10.883585862726058</c:v>
                </c:pt>
                <c:pt idx="10">
                  <c:v>8.2289935320946235</c:v>
                </c:pt>
                <c:pt idx="12">
                  <c:v>5.7218396994550513</c:v>
                </c:pt>
                <c:pt idx="13">
                  <c:v>4.3262379212492643</c:v>
                </c:pt>
                <c:pt idx="15">
                  <c:v>1.1342585027081734E-15</c:v>
                </c:pt>
                <c:pt idx="16">
                  <c:v>8.5760391843603401E-16</c:v>
                </c:pt>
                <c:pt idx="18">
                  <c:v>-5.7218396994550487</c:v>
                </c:pt>
                <c:pt idx="19">
                  <c:v>-4.3262379212492625</c:v>
                </c:pt>
                <c:pt idx="21">
                  <c:v>-10.883585862726054</c:v>
                </c:pt>
                <c:pt idx="22">
                  <c:v>-8.2289935320946217</c:v>
                </c:pt>
                <c:pt idx="24">
                  <c:v>-14.979970811351803</c:v>
                </c:pt>
                <c:pt idx="25">
                  <c:v>-11.326237921249263</c:v>
                </c:pt>
                <c:pt idx="27">
                  <c:v>-17.610011845368607</c:v>
                </c:pt>
                <c:pt idx="28">
                  <c:v>-13.314791228132149</c:v>
                </c:pt>
                <c:pt idx="30">
                  <c:v>-18.516262223793511</c:v>
                </c:pt>
                <c:pt idx="31">
                  <c:v>-14</c:v>
                </c:pt>
                <c:pt idx="33">
                  <c:v>-17.610011845368611</c:v>
                </c:pt>
                <c:pt idx="34">
                  <c:v>-13.314791228132151</c:v>
                </c:pt>
                <c:pt idx="36">
                  <c:v>-14.979970811351809</c:v>
                </c:pt>
                <c:pt idx="37">
                  <c:v>-11.326237921249266</c:v>
                </c:pt>
                <c:pt idx="39">
                  <c:v>-10.88358586272606</c:v>
                </c:pt>
                <c:pt idx="40">
                  <c:v>-8.2289935320946253</c:v>
                </c:pt>
                <c:pt idx="42">
                  <c:v>-5.7218396994550531</c:v>
                </c:pt>
                <c:pt idx="43">
                  <c:v>-4.3262379212492661</c:v>
                </c:pt>
                <c:pt idx="45">
                  <c:v>-3.4027755081245199E-15</c:v>
                </c:pt>
                <c:pt idx="46">
                  <c:v>-2.572811755308102E-15</c:v>
                </c:pt>
                <c:pt idx="48">
                  <c:v>5.721839699455046</c:v>
                </c:pt>
                <c:pt idx="49">
                  <c:v>4.3262379212492608</c:v>
                </c:pt>
                <c:pt idx="51">
                  <c:v>10.883585862726052</c:v>
                </c:pt>
                <c:pt idx="52">
                  <c:v>8.2289935320946199</c:v>
                </c:pt>
                <c:pt idx="54">
                  <c:v>14.979970811351803</c:v>
                </c:pt>
                <c:pt idx="55">
                  <c:v>11.326237921249263</c:v>
                </c:pt>
                <c:pt idx="57">
                  <c:v>17.610011845368607</c:v>
                </c:pt>
                <c:pt idx="58">
                  <c:v>13.314791228132149</c:v>
                </c:pt>
              </c:numCache>
            </c:numRef>
          </c:xVal>
          <c:yVal>
            <c:numRef>
              <c:f>'Vektoren der Störbeschleunigung'!$J$58:$J$116</c:f>
              <c:numCache>
                <c:formatCode>0.00</c:formatCode>
                <c:ptCount val="59"/>
                <c:pt idx="0">
                  <c:v>0</c:v>
                </c:pt>
                <c:pt idx="1">
                  <c:v>0</c:v>
                </c:pt>
                <c:pt idx="3">
                  <c:v>3.6284370321463704</c:v>
                </c:pt>
                <c:pt idx="4">
                  <c:v>4.3262379212492634</c:v>
                </c:pt>
                <c:pt idx="6">
                  <c:v>6.9016973667789063</c:v>
                </c:pt>
                <c:pt idx="7">
                  <c:v>8.2289935320946235</c:v>
                </c:pt>
                <c:pt idx="9">
                  <c:v>9.499371476197993</c:v>
                </c:pt>
                <c:pt idx="10">
                  <c:v>11.326237921249264</c:v>
                </c:pt>
                <c:pt idx="12">
                  <c:v>11.167180919513921</c:v>
                </c:pt>
                <c:pt idx="13">
                  <c:v>13.314791228132149</c:v>
                </c:pt>
                <c:pt idx="15">
                  <c:v>11.741868888103244</c:v>
                </c:pt>
                <c:pt idx="16">
                  <c:v>14</c:v>
                </c:pt>
                <c:pt idx="18">
                  <c:v>11.167180919513921</c:v>
                </c:pt>
                <c:pt idx="19">
                  <c:v>13.314791228132151</c:v>
                </c:pt>
                <c:pt idx="21">
                  <c:v>9.499371476197993</c:v>
                </c:pt>
                <c:pt idx="22">
                  <c:v>11.326237921249264</c:v>
                </c:pt>
                <c:pt idx="24">
                  <c:v>6.9016973667789081</c:v>
                </c:pt>
                <c:pt idx="25">
                  <c:v>8.2289935320946253</c:v>
                </c:pt>
                <c:pt idx="27">
                  <c:v>3.6284370321463717</c:v>
                </c:pt>
                <c:pt idx="28">
                  <c:v>4.3262379212492652</c:v>
                </c:pt>
                <c:pt idx="30">
                  <c:v>1.4385532525999286E-15</c:v>
                </c:pt>
                <c:pt idx="31">
                  <c:v>1.715207836872068E-15</c:v>
                </c:pt>
                <c:pt idx="33">
                  <c:v>-3.6284370321463686</c:v>
                </c:pt>
                <c:pt idx="34">
                  <c:v>-4.3262379212492617</c:v>
                </c:pt>
                <c:pt idx="36">
                  <c:v>-6.9016973667789046</c:v>
                </c:pt>
                <c:pt idx="37">
                  <c:v>-8.2289935320946217</c:v>
                </c:pt>
                <c:pt idx="39">
                  <c:v>-9.499371476197993</c:v>
                </c:pt>
                <c:pt idx="40">
                  <c:v>-11.326237921249263</c:v>
                </c:pt>
                <c:pt idx="42">
                  <c:v>-11.167180919513921</c:v>
                </c:pt>
                <c:pt idx="43">
                  <c:v>-13.314791228132149</c:v>
                </c:pt>
                <c:pt idx="45">
                  <c:v>-11.741868888103244</c:v>
                </c:pt>
                <c:pt idx="46">
                  <c:v>-14</c:v>
                </c:pt>
                <c:pt idx="48">
                  <c:v>-11.167180919513921</c:v>
                </c:pt>
                <c:pt idx="49">
                  <c:v>-13.314791228132151</c:v>
                </c:pt>
                <c:pt idx="51">
                  <c:v>-9.4993714761979948</c:v>
                </c:pt>
                <c:pt idx="52">
                  <c:v>-11.326237921249266</c:v>
                </c:pt>
                <c:pt idx="54">
                  <c:v>-6.9016973667789099</c:v>
                </c:pt>
                <c:pt idx="55">
                  <c:v>-8.228993532094627</c:v>
                </c:pt>
                <c:pt idx="57">
                  <c:v>-3.6284370321463735</c:v>
                </c:pt>
                <c:pt idx="58">
                  <c:v>-4.326237921249267</c:v>
                </c:pt>
              </c:numCache>
            </c:numRef>
          </c:yVal>
          <c:smooth val="0"/>
        </c:ser>
        <c:ser>
          <c:idx val="1"/>
          <c:order val="3"/>
          <c:tx>
            <c:v>Knotenpunkte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1"/>
              </a:solidFill>
            </c:spPr>
          </c:marker>
          <c:dLbls>
            <c:dLbl>
              <c:idx val="0"/>
              <c:layout>
                <c:manualLayout>
                  <c:x val="-7.2727258844713181E-3"/>
                  <c:y val="-3.6363636363636362E-2"/>
                </c:manualLayout>
              </c:layout>
              <c:tx>
                <c:rich>
                  <a:bodyPr/>
                  <a:lstStyle/>
                  <a:p>
                    <a:pPr>
                      <a:defRPr sz="1100" b="1"/>
                    </a:pPr>
                    <a:r>
                      <a:rPr lang="en-US" sz="1100" b="1"/>
                      <a:t>Knoten-</a:t>
                    </a:r>
                  </a:p>
                  <a:p>
                    <a:pPr>
                      <a:defRPr sz="1100" b="1"/>
                    </a:pPr>
                    <a:r>
                      <a:rPr lang="en-US" sz="1100" b="1"/>
                      <a:t>punkt A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2041127515504427"/>
                  <c:y val="2.9090909090909091E-2"/>
                </c:manualLayout>
              </c:layout>
              <c:tx>
                <c:rich>
                  <a:bodyPr/>
                  <a:lstStyle/>
                  <a:p>
                    <a:pPr>
                      <a:defRPr sz="1100"/>
                    </a:pPr>
                    <a:r>
                      <a:rPr lang="en-US" sz="1100" b="1"/>
                      <a:t>Knoten-</a:t>
                    </a:r>
                  </a:p>
                  <a:p>
                    <a:pPr>
                      <a:defRPr sz="1100"/>
                    </a:pPr>
                    <a:r>
                      <a:rPr lang="en-US" sz="1100" b="1"/>
                      <a:t>punkt B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'Vektoren der Störbeschleunigung'!$L$43:$L$44</c:f>
              <c:numCache>
                <c:formatCode>General</c:formatCode>
                <c:ptCount val="2"/>
                <c:pt idx="0">
                  <c:v>-14</c:v>
                </c:pt>
                <c:pt idx="1">
                  <c:v>14</c:v>
                </c:pt>
              </c:numCache>
            </c:numRef>
          </c:xVal>
          <c:yVal>
            <c:numRef>
              <c:f>'Vektoren der Störbeschleunigung'!$M$43:$M$44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2"/>
          <c:order val="4"/>
          <c:tx>
            <c:v>55°-Linie</c:v>
          </c:tx>
          <c:dPt>
            <c:idx val="1"/>
            <c:marker>
              <c:spPr>
                <a:ln w="12700">
                  <a:solidFill>
                    <a:schemeClr val="tx1"/>
                  </a:solidFill>
                </a:ln>
              </c:spPr>
            </c:marker>
            <c:bubble3D val="0"/>
            <c:spPr>
              <a:ln w="12700"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1.8264833615635273E-2"/>
                  <c:y val="-4.363636363636364E-2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ca. 55°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547937817589682E-2"/>
                  <c:y val="-7.2727272727272727E-3"/>
                </c:manualLayout>
              </c:layout>
              <c:tx>
                <c:rich>
                  <a:bodyPr/>
                  <a:lstStyle/>
                  <a:p>
                    <a:r>
                      <a:rPr lang="en-US" sz="1400">
                        <a:solidFill>
                          <a:srgbClr val="C00000"/>
                        </a:solidFill>
                      </a:rPr>
                      <a:t>Betrag</a:t>
                    </a:r>
                    <a:r>
                      <a:rPr lang="en-US" sz="1400" baseline="0">
                        <a:solidFill>
                          <a:srgbClr val="C00000"/>
                        </a:solidFill>
                      </a:rPr>
                      <a:t> </a:t>
                    </a:r>
                  </a:p>
                  <a:p>
                    <a:r>
                      <a:rPr lang="en-US" sz="1400" b="1" baseline="0">
                        <a:solidFill>
                          <a:srgbClr val="C00000"/>
                        </a:solidFill>
                      </a:rPr>
                      <a:t>0,707 </a:t>
                    </a:r>
                    <a:r>
                      <a:rPr lang="en-US" sz="1600" b="1" i="1" baseline="0">
                        <a:solidFill>
                          <a:srgbClr val="C00000"/>
                        </a:solidFill>
                      </a:rPr>
                      <a:t>a</a:t>
                    </a:r>
                    <a:r>
                      <a:rPr lang="en-US" sz="800" b="1" baseline="0">
                        <a:solidFill>
                          <a:srgbClr val="C00000"/>
                        </a:solidFill>
                      </a:rPr>
                      <a:t>0</a:t>
                    </a:r>
                    <a:endParaRPr lang="en-US" sz="800" b="1">
                      <a:solidFill>
                        <a:srgbClr val="C00000"/>
                      </a:solidFill>
                    </a:endParaRP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'Vektoren der Störbeschleunigung'!$L$48:$L$49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8.23</c:v>
                </c:pt>
              </c:numCache>
            </c:numRef>
          </c:xVal>
          <c:yVal>
            <c:numRef>
              <c:f>'Vektoren der Störbeschleunigung'!$M$48:$M$49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11.33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389504"/>
        <c:axId val="128391424"/>
      </c:scatterChart>
      <c:valAx>
        <c:axId val="128389504"/>
        <c:scaling>
          <c:orientation val="minMax"/>
          <c:max val="20"/>
          <c:min val="-2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1"/>
                </a:pPr>
                <a:r>
                  <a:rPr lang="en-US" sz="1400" b="1" i="1"/>
                  <a:t>x</a:t>
                </a:r>
              </a:p>
            </c:rich>
          </c:tx>
          <c:layout>
            <c:manualLayout>
              <c:xMode val="edge"/>
              <c:yMode val="edge"/>
              <c:x val="0.90591192442626112"/>
              <c:y val="0.44327272727272726"/>
            </c:manualLayout>
          </c:layout>
          <c:overlay val="0"/>
        </c:title>
        <c:numFmt formatCode="0.E+00" sourceLinked="0"/>
        <c:majorTickMark val="out"/>
        <c:minorTickMark val="none"/>
        <c:tickLblPos val="nextTo"/>
        <c:spPr>
          <a:noFill/>
          <a:ln>
            <a:tailEnd type="arrow"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de-DE"/>
          </a:p>
        </c:txPr>
        <c:crossAx val="128391424"/>
        <c:crosses val="autoZero"/>
        <c:crossBetween val="midCat"/>
        <c:majorUnit val="20"/>
      </c:valAx>
      <c:valAx>
        <c:axId val="128391424"/>
        <c:scaling>
          <c:orientation val="minMax"/>
          <c:max val="20"/>
          <c:min val="-2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de-DE" sz="1400" i="1"/>
                  <a:t>y</a:t>
                </a:r>
              </a:p>
            </c:rich>
          </c:tx>
          <c:layout>
            <c:manualLayout>
              <c:xMode val="edge"/>
              <c:yMode val="edge"/>
              <c:x val="0.50959860383944156"/>
              <c:y val="3.7933285612025767E-2"/>
            </c:manualLayout>
          </c:layout>
          <c:overlay val="0"/>
        </c:title>
        <c:numFmt formatCode="0.E+00" sourceLinked="0"/>
        <c:majorTickMark val="out"/>
        <c:minorTickMark val="none"/>
        <c:tickLblPos val="none"/>
        <c:spPr>
          <a:ln>
            <a:tailEnd type="arrow"/>
          </a:ln>
        </c:spPr>
        <c:crossAx val="128389504"/>
        <c:crosses val="autoZero"/>
        <c:crossBetween val="midCat"/>
        <c:majorUnit val="20"/>
      </c:val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de-DE" sz="1100" b="1" u="sng"/>
              <a:t>Diagramm 3d</a:t>
            </a:r>
            <a:r>
              <a:rPr lang="de-DE" sz="1100" b="1" u="none"/>
              <a:t>   </a:t>
            </a:r>
            <a:r>
              <a:rPr lang="de-DE" sz="1100" b="1"/>
              <a:t>Ekliptikale Apsidenlängen 2008 </a:t>
            </a:r>
          </a:p>
        </c:rich>
      </c:tx>
      <c:layout>
        <c:manualLayout>
          <c:xMode val="edge"/>
          <c:yMode val="edge"/>
          <c:x val="0.14366226756866671"/>
          <c:y val="2.1452145214521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74674832312682"/>
          <c:y val="8.0858259054251896E-2"/>
          <c:w val="0.79436728978773263"/>
          <c:h val="0.83003434089175598"/>
        </c:manualLayout>
      </c:layout>
      <c:scatterChart>
        <c:scatterStyle val="lineMarker"/>
        <c:varyColors val="0"/>
        <c:ser>
          <c:idx val="0"/>
          <c:order val="0"/>
          <c:tx>
            <c:v>ekliptikale Länge des Perigäum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Exzentrizität!$C$5:$C$33</c:f>
              <c:numCache>
                <c:formatCode>0.0</c:formatCode>
                <c:ptCount val="29"/>
                <c:pt idx="0">
                  <c:v>3.33</c:v>
                </c:pt>
                <c:pt idx="1">
                  <c:v>19.37166666666424</c:v>
                </c:pt>
                <c:pt idx="2">
                  <c:v>31.163333333328481</c:v>
                </c:pt>
                <c:pt idx="3">
                  <c:v>45.038333333328481</c:v>
                </c:pt>
                <c:pt idx="4">
                  <c:v>59.038333333328481</c:v>
                </c:pt>
                <c:pt idx="5">
                  <c:v>70.913333333328481</c:v>
                </c:pt>
                <c:pt idx="6">
                  <c:v>86.83</c:v>
                </c:pt>
                <c:pt idx="7">
                  <c:v>98.788333333328481</c:v>
                </c:pt>
                <c:pt idx="8">
                  <c:v>114.41333333332848</c:v>
                </c:pt>
                <c:pt idx="9">
                  <c:v>127.12166666666424</c:v>
                </c:pt>
                <c:pt idx="10">
                  <c:v>141.58000000000001</c:v>
                </c:pt>
                <c:pt idx="11">
                  <c:v>155.5383333333285</c:v>
                </c:pt>
                <c:pt idx="12">
                  <c:v>168.74666666666425</c:v>
                </c:pt>
                <c:pt idx="13">
                  <c:v>183.87166666666425</c:v>
                </c:pt>
                <c:pt idx="14">
                  <c:v>196.1633333333285</c:v>
                </c:pt>
                <c:pt idx="15">
                  <c:v>211.95500000000001</c:v>
                </c:pt>
                <c:pt idx="16">
                  <c:v>223.83</c:v>
                </c:pt>
                <c:pt idx="17">
                  <c:v>239.1633333333285</c:v>
                </c:pt>
                <c:pt idx="18">
                  <c:v>251.62166666666425</c:v>
                </c:pt>
                <c:pt idx="19">
                  <c:v>264.12166666666423</c:v>
                </c:pt>
                <c:pt idx="20">
                  <c:v>279.45499999999998</c:v>
                </c:pt>
                <c:pt idx="21">
                  <c:v>291.24666666666423</c:v>
                </c:pt>
                <c:pt idx="22">
                  <c:v>307.20499999999998</c:v>
                </c:pt>
                <c:pt idx="23">
                  <c:v>319.41333333332847</c:v>
                </c:pt>
                <c:pt idx="24">
                  <c:v>334.70499999999998</c:v>
                </c:pt>
                <c:pt idx="25">
                  <c:v>347.91333333332847</c:v>
                </c:pt>
                <c:pt idx="26">
                  <c:v>361.74666666666423</c:v>
                </c:pt>
                <c:pt idx="27">
                  <c:v>376.45499999999998</c:v>
                </c:pt>
                <c:pt idx="28">
                  <c:v>388.99666666666423</c:v>
                </c:pt>
              </c:numCache>
            </c:numRef>
          </c:xVal>
          <c:yVal>
            <c:numRef>
              <c:f>Exzentrizität!$I$5:$I$33</c:f>
              <c:numCache>
                <c:formatCode>0.00</c:formatCode>
                <c:ptCount val="29"/>
                <c:pt idx="1">
                  <c:v>76.028750000000002</c:v>
                </c:pt>
                <c:pt idx="3">
                  <c:v>53.301250000000003</c:v>
                </c:pt>
                <c:pt idx="5">
                  <c:v>33.499166666666667</c:v>
                </c:pt>
                <c:pt idx="7">
                  <c:v>41.029166666666669</c:v>
                </c:pt>
                <c:pt idx="9">
                  <c:v>54.717500000000001</c:v>
                </c:pt>
                <c:pt idx="11">
                  <c:v>69.497500000000002</c:v>
                </c:pt>
                <c:pt idx="13">
                  <c:v>83.155000000000001</c:v>
                </c:pt>
                <c:pt idx="15">
                  <c:v>93.557916666666671</c:v>
                </c:pt>
                <c:pt idx="17">
                  <c:v>92.19</c:v>
                </c:pt>
                <c:pt idx="19">
                  <c:v>59.827500000000001</c:v>
                </c:pt>
                <c:pt idx="21">
                  <c:v>57.275000000000006</c:v>
                </c:pt>
                <c:pt idx="23">
                  <c:v>68.712500000000006</c:v>
                </c:pt>
                <c:pt idx="25">
                  <c:v>84.473333333333329</c:v>
                </c:pt>
                <c:pt idx="27">
                  <c:v>100.62125</c:v>
                </c:pt>
              </c:numCache>
            </c:numRef>
          </c:yVal>
          <c:smooth val="0"/>
        </c:ser>
        <c:ser>
          <c:idx val="1"/>
          <c:order val="1"/>
          <c:tx>
            <c:v>ekliptikale Länge des Apogäum</c:v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5875">
                <a:solidFill>
                  <a:srgbClr val="000000"/>
                </a:solidFill>
                <a:prstDash val="dash"/>
              </a:ln>
            </c:spPr>
            <c:trendlineType val="poly"/>
            <c:order val="6"/>
            <c:dispRSqr val="0"/>
            <c:dispEq val="0"/>
          </c:trendline>
          <c:trendline>
            <c:spPr>
              <a:ln w="19050">
                <a:solidFill>
                  <a:schemeClr val="accent1">
                    <a:lumMod val="75000"/>
                  </a:schemeClr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Exzentrizität!$C$5:$C$33</c:f>
              <c:numCache>
                <c:formatCode>0.0</c:formatCode>
                <c:ptCount val="29"/>
                <c:pt idx="0">
                  <c:v>3.33</c:v>
                </c:pt>
                <c:pt idx="1">
                  <c:v>19.37166666666424</c:v>
                </c:pt>
                <c:pt idx="2">
                  <c:v>31.163333333328481</c:v>
                </c:pt>
                <c:pt idx="3">
                  <c:v>45.038333333328481</c:v>
                </c:pt>
                <c:pt idx="4">
                  <c:v>59.038333333328481</c:v>
                </c:pt>
                <c:pt idx="5">
                  <c:v>70.913333333328481</c:v>
                </c:pt>
                <c:pt idx="6">
                  <c:v>86.83</c:v>
                </c:pt>
                <c:pt idx="7">
                  <c:v>98.788333333328481</c:v>
                </c:pt>
                <c:pt idx="8">
                  <c:v>114.41333333332848</c:v>
                </c:pt>
                <c:pt idx="9">
                  <c:v>127.12166666666424</c:v>
                </c:pt>
                <c:pt idx="10">
                  <c:v>141.58000000000001</c:v>
                </c:pt>
                <c:pt idx="11">
                  <c:v>155.5383333333285</c:v>
                </c:pt>
                <c:pt idx="12">
                  <c:v>168.74666666666425</c:v>
                </c:pt>
                <c:pt idx="13">
                  <c:v>183.87166666666425</c:v>
                </c:pt>
                <c:pt idx="14">
                  <c:v>196.1633333333285</c:v>
                </c:pt>
                <c:pt idx="15">
                  <c:v>211.95500000000001</c:v>
                </c:pt>
                <c:pt idx="16">
                  <c:v>223.83</c:v>
                </c:pt>
                <c:pt idx="17">
                  <c:v>239.1633333333285</c:v>
                </c:pt>
                <c:pt idx="18">
                  <c:v>251.62166666666425</c:v>
                </c:pt>
                <c:pt idx="19">
                  <c:v>264.12166666666423</c:v>
                </c:pt>
                <c:pt idx="20">
                  <c:v>279.45499999999998</c:v>
                </c:pt>
                <c:pt idx="21">
                  <c:v>291.24666666666423</c:v>
                </c:pt>
                <c:pt idx="22">
                  <c:v>307.20499999999998</c:v>
                </c:pt>
                <c:pt idx="23">
                  <c:v>319.41333333332847</c:v>
                </c:pt>
                <c:pt idx="24">
                  <c:v>334.70499999999998</c:v>
                </c:pt>
                <c:pt idx="25">
                  <c:v>347.91333333332847</c:v>
                </c:pt>
                <c:pt idx="26">
                  <c:v>361.74666666666423</c:v>
                </c:pt>
                <c:pt idx="27">
                  <c:v>376.45499999999998</c:v>
                </c:pt>
                <c:pt idx="28">
                  <c:v>388.99666666666423</c:v>
                </c:pt>
              </c:numCache>
            </c:numRef>
          </c:xVal>
          <c:yVal>
            <c:numRef>
              <c:f>Exzentrizität!$J$5:$J$33</c:f>
              <c:numCache>
                <c:formatCode>0.0</c:formatCode>
                <c:ptCount val="29"/>
                <c:pt idx="0">
                  <c:v>225.03333333333333</c:v>
                </c:pt>
                <c:pt idx="2">
                  <c:v>231.01999999999998</c:v>
                </c:pt>
                <c:pt idx="4">
                  <c:v>237.345</c:v>
                </c:pt>
                <c:pt idx="6">
                  <c:v>242.87</c:v>
                </c:pt>
                <c:pt idx="8">
                  <c:v>246.36583333333331</c:v>
                </c:pt>
                <c:pt idx="10">
                  <c:v>245.29000000000002</c:v>
                </c:pt>
                <c:pt idx="12">
                  <c:v>244.285</c:v>
                </c:pt>
                <c:pt idx="14">
                  <c:v>246.01833333333332</c:v>
                </c:pt>
                <c:pt idx="16">
                  <c:v>250.30166666666668</c:v>
                </c:pt>
                <c:pt idx="18">
                  <c:v>256.01875000000001</c:v>
                </c:pt>
                <c:pt idx="20">
                  <c:v>261.70666666666665</c:v>
                </c:pt>
                <c:pt idx="22">
                  <c:v>266.93833333333333</c:v>
                </c:pt>
                <c:pt idx="24">
                  <c:v>269.60250000000002</c:v>
                </c:pt>
                <c:pt idx="26">
                  <c:v>267.07249999999999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478144"/>
        <c:axId val="143504896"/>
      </c:scatterChart>
      <c:scatterChart>
        <c:scatterStyle val="smoothMarker"/>
        <c:varyColors val="0"/>
        <c:ser>
          <c:idx val="2"/>
          <c:order val="2"/>
          <c:tx>
            <c:v>Markierung 1 in Diagr. 3d</c:v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Exzentrizität!$B$37:$B$38</c:f>
              <c:numCache>
                <c:formatCode>General</c:formatCode>
                <c:ptCount val="2"/>
                <c:pt idx="0" formatCode="0">
                  <c:v>45</c:v>
                </c:pt>
                <c:pt idx="1">
                  <c:v>45</c:v>
                </c:pt>
              </c:numCache>
            </c:numRef>
          </c:xVal>
          <c:yVal>
            <c:numRef>
              <c:f>Exzentrizität!$C$37:$C$38</c:f>
              <c:numCache>
                <c:formatCode>0</c:formatCode>
                <c:ptCount val="2"/>
                <c:pt idx="0">
                  <c:v>24</c:v>
                </c:pt>
                <c:pt idx="1">
                  <c:v>70</c:v>
                </c:pt>
              </c:numCache>
            </c:numRef>
          </c:yVal>
          <c:smooth val="1"/>
        </c:ser>
        <c:ser>
          <c:idx val="3"/>
          <c:order val="3"/>
          <c:tx>
            <c:v>Markierung 2 in Diagr. 3d</c:v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Exzentrizität!$D$37:$D$38</c:f>
              <c:numCache>
                <c:formatCode>0</c:formatCode>
                <c:ptCount val="2"/>
                <c:pt idx="0">
                  <c:v>252</c:v>
                </c:pt>
                <c:pt idx="1">
                  <c:v>252</c:v>
                </c:pt>
              </c:numCache>
            </c:numRef>
          </c:xVal>
          <c:yVal>
            <c:numRef>
              <c:f>Exzentrizität!$E$37:$E$38</c:f>
              <c:numCache>
                <c:formatCode>0</c:formatCode>
                <c:ptCount val="2"/>
                <c:pt idx="0">
                  <c:v>24</c:v>
                </c:pt>
                <c:pt idx="1">
                  <c:v>85</c:v>
                </c:pt>
              </c:numCache>
            </c:numRef>
          </c:yVal>
          <c:smooth val="1"/>
        </c:ser>
        <c:ser>
          <c:idx val="4"/>
          <c:order val="4"/>
          <c:tx>
            <c:v>Markierung 3 in Diagr. 3d</c:v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Exzentrizität!$B$39:$B$40</c:f>
              <c:numCache>
                <c:formatCode>0</c:formatCode>
                <c:ptCount val="2"/>
                <c:pt idx="0">
                  <c:v>142</c:v>
                </c:pt>
                <c:pt idx="1">
                  <c:v>142</c:v>
                </c:pt>
              </c:numCache>
            </c:numRef>
          </c:xVal>
          <c:yVal>
            <c:numRef>
              <c:f>Exzentrizität!$C$39:$C$40</c:f>
              <c:numCache>
                <c:formatCode>General</c:formatCode>
                <c:ptCount val="2"/>
                <c:pt idx="0" formatCode="0">
                  <c:v>222</c:v>
                </c:pt>
                <c:pt idx="1">
                  <c:v>275</c:v>
                </c:pt>
              </c:numCache>
            </c:numRef>
          </c:yVal>
          <c:smooth val="1"/>
        </c:ser>
        <c:ser>
          <c:idx val="5"/>
          <c:order val="5"/>
          <c:tx>
            <c:v>Markierung 4 in Diagr. 3d</c:v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Exzentrizität!$D$39:$D$40</c:f>
              <c:numCache>
                <c:formatCode>General</c:formatCode>
                <c:ptCount val="2"/>
                <c:pt idx="0" formatCode="0">
                  <c:v>348</c:v>
                </c:pt>
                <c:pt idx="1">
                  <c:v>348</c:v>
                </c:pt>
              </c:numCache>
            </c:numRef>
          </c:xVal>
          <c:yVal>
            <c:numRef>
              <c:f>Exzentrizität!$E$39:$E$40</c:f>
              <c:numCache>
                <c:formatCode>General</c:formatCode>
                <c:ptCount val="2"/>
                <c:pt idx="0" formatCode="0">
                  <c:v>222</c:v>
                </c:pt>
                <c:pt idx="1">
                  <c:v>275</c:v>
                </c:pt>
              </c:numCache>
            </c:numRef>
          </c:yVal>
          <c:smooth val="1"/>
        </c:ser>
        <c:ser>
          <c:idx val="6"/>
          <c:order val="6"/>
          <c:tx>
            <c:v>Markierung 5 in Diagr. 3d</c:v>
          </c:tx>
          <c:spPr>
            <a:ln w="19050">
              <a:solidFill>
                <a:srgbClr val="C00000"/>
              </a:solidFill>
              <a:headEnd type="arrow" w="med" len="med"/>
              <a:tailEnd type="arrow" w="med" len="med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layout>
                <c:manualLayout>
                  <c:x val="-0.28791141450666308"/>
                  <c:y val="-2.7502750275027505E-3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rgbClr val="C00000"/>
                        </a:solidFill>
                      </a:defRPr>
                    </a:pPr>
                    <a:r>
                      <a:rPr lang="en-US" b="1">
                        <a:solidFill>
                          <a:srgbClr val="C00000"/>
                        </a:solidFill>
                      </a:rPr>
                      <a:t>ca. 207 Tage</a:t>
                    </a:r>
                    <a:endParaRPr lang="en-US" b="1"/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C00000"/>
                    </a:solidFill>
                  </a:defRPr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Exzentrizität!$B$41:$B$42</c:f>
              <c:numCache>
                <c:formatCode>General</c:formatCode>
                <c:ptCount val="2"/>
                <c:pt idx="0" formatCode="0">
                  <c:v>45</c:v>
                </c:pt>
                <c:pt idx="1">
                  <c:v>252</c:v>
                </c:pt>
              </c:numCache>
            </c:numRef>
          </c:xVal>
          <c:yVal>
            <c:numRef>
              <c:f>Exzentrizität!$C$41:$C$42</c:f>
              <c:numCache>
                <c:formatCode>0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yVal>
          <c:smooth val="1"/>
        </c:ser>
        <c:ser>
          <c:idx val="7"/>
          <c:order val="7"/>
          <c:tx>
            <c:v>Markierung 6 in Diagr. 3d</c:v>
          </c:tx>
          <c:spPr>
            <a:ln w="19050">
              <a:solidFill>
                <a:srgbClr val="C00000"/>
              </a:solidFill>
              <a:headEnd type="arrow" w="med" len="med"/>
              <a:tailEnd type="arrow" w="med" len="med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layout>
                <c:manualLayout>
                  <c:x val="-0.2513304721030043"/>
                  <c:y val="-5.5005500550055003E-4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rgbClr val="C00000"/>
                        </a:solidFill>
                      </a:defRPr>
                    </a:pPr>
                    <a:r>
                      <a:rPr lang="en-US" b="1">
                        <a:solidFill>
                          <a:srgbClr val="C00000"/>
                        </a:solidFill>
                      </a:rPr>
                      <a:t>ca. 206 Tage</a:t>
                    </a:r>
                    <a:endParaRPr lang="en-US" b="1"/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C00000"/>
                    </a:solidFill>
                  </a:defRPr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Exzentrizität!$D$41:$D$42</c:f>
              <c:numCache>
                <c:formatCode>0</c:formatCode>
                <c:ptCount val="2"/>
                <c:pt idx="0">
                  <c:v>142</c:v>
                </c:pt>
                <c:pt idx="1">
                  <c:v>348</c:v>
                </c:pt>
              </c:numCache>
            </c:numRef>
          </c:xVal>
          <c:yVal>
            <c:numRef>
              <c:f>Exzentrizität!$E$41:$E$42</c:f>
              <c:numCache>
                <c:formatCode>0</c:formatCode>
                <c:ptCount val="2"/>
                <c:pt idx="0">
                  <c:v>230</c:v>
                </c:pt>
                <c:pt idx="1">
                  <c:v>230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478144"/>
        <c:axId val="143504896"/>
      </c:scatterChart>
      <c:valAx>
        <c:axId val="143478144"/>
        <c:scaling>
          <c:orientation val="minMax"/>
          <c:max val="39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Tages-Nr.</a:t>
                </a:r>
              </a:p>
            </c:rich>
          </c:tx>
          <c:layout>
            <c:manualLayout>
              <c:xMode val="edge"/>
              <c:yMode val="edge"/>
              <c:x val="0.78094418197725068"/>
              <c:y val="0.86853823965073673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90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43504896"/>
        <c:crosses val="autoZero"/>
        <c:crossBetween val="midCat"/>
        <c:majorUnit val="50"/>
        <c:minorUnit val="10"/>
      </c:valAx>
      <c:valAx>
        <c:axId val="143504896"/>
        <c:scaling>
          <c:orientation val="minMax"/>
          <c:max val="2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/>
                </a:pPr>
                <a:r>
                  <a:rPr lang="de-DE" sz="12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</a:t>
                </a:r>
                <a:r>
                  <a:rPr lang="de-DE" sz="1200"/>
                  <a:t> (°)</a:t>
                </a:r>
              </a:p>
            </c:rich>
          </c:tx>
          <c:layout>
            <c:manualLayout>
              <c:xMode val="edge"/>
              <c:yMode val="edge"/>
              <c:x val="0.17167092044528917"/>
              <c:y val="8.4158589087255167E-2"/>
            </c:manualLayout>
          </c:layout>
          <c:overlay val="0"/>
          <c:spPr>
            <a:solidFill>
              <a:sysClr val="window" lastClr="FFFFFF"/>
            </a:solidFill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25400">
            <a:solidFill>
              <a:srgbClr val="000000"/>
            </a:solidFill>
            <a:prstDash val="solid"/>
            <a:tailEnd type="arrow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43478144"/>
        <c:crosses val="autoZero"/>
        <c:crossBetween val="midCat"/>
        <c:majorUnit val="20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28416284631087779"/>
          <c:y val="0.28559964657883113"/>
          <c:w val="0.57278969957081549"/>
          <c:h val="0.24588099754857376"/>
        </c:manualLayout>
      </c:layout>
      <c:overlay val="0"/>
      <c:spPr>
        <a:solidFill>
          <a:schemeClr val="bg2"/>
        </a:solidFill>
        <a:ln>
          <a:solidFill>
            <a:srgbClr val="80808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511" footer="0.4921259845000051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Diagramm 3b</a:t>
            </a:r>
            <a:r>
              <a:rPr lang="de-DE" u="none"/>
              <a:t>   Exzentrizität der Mondbahn 2008</a:t>
            </a:r>
          </a:p>
        </c:rich>
      </c:tx>
      <c:layout>
        <c:manualLayout>
          <c:xMode val="edge"/>
          <c:yMode val="edge"/>
          <c:x val="0.18494668811560347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43036044682556"/>
          <c:y val="0.17307746481077479"/>
          <c:w val="0.84516306527861496"/>
          <c:h val="0.68696783094420888"/>
        </c:manualLayout>
      </c:layout>
      <c:scatterChart>
        <c:scatterStyle val="smoothMarker"/>
        <c:varyColors val="0"/>
        <c:ser>
          <c:idx val="0"/>
          <c:order val="0"/>
          <c:tx>
            <c:v>Exzentrizität</c:v>
          </c:tx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 val="-3.8309217129155658E-2"/>
                  <c:y val="7.718846815235629E-2"/>
                </c:manualLayout>
              </c:layout>
              <c:tx>
                <c:rich>
                  <a:bodyPr/>
                  <a:lstStyle/>
                  <a:p>
                    <a:r>
                      <a:rPr lang="en-US" sz="1000" b="1"/>
                      <a:t>14.2</a:t>
                    </a:r>
                    <a:r>
                      <a:rPr lang="en-US"/>
                      <a:t>.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5751074932693198E-2"/>
                  <c:y val="-5.2431337329518157E-2"/>
                </c:manualLayout>
              </c:layout>
              <c:tx>
                <c:rich>
                  <a:bodyPr/>
                  <a:lstStyle/>
                  <a:p>
                    <a:r>
                      <a:rPr lang="en-US" sz="1000" b="1"/>
                      <a:t>20.5.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3.2495264527976478E-2"/>
                  <c:y val="8.7798547727953105E-2"/>
                </c:manualLayout>
              </c:layout>
              <c:tx>
                <c:rich>
                  <a:bodyPr/>
                  <a:lstStyle/>
                  <a:p>
                    <a:r>
                      <a:rPr lang="en-US" sz="1000" b="1"/>
                      <a:t>7.9.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3.856588558782189E-2"/>
                  <c:y val="-4.6861184792219276E-2"/>
                </c:manualLayout>
              </c:layout>
              <c:tx>
                <c:rich>
                  <a:bodyPr/>
                  <a:lstStyle/>
                  <a:p>
                    <a:r>
                      <a:rPr lang="en-US" sz="1000" b="1"/>
                      <a:t>12.12.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Exzentrizität!$C$6:$C$32</c:f>
              <c:numCache>
                <c:formatCode>0.0</c:formatCode>
                <c:ptCount val="27"/>
                <c:pt idx="0">
                  <c:v>19.37166666666424</c:v>
                </c:pt>
                <c:pt idx="1">
                  <c:v>31.163333333328481</c:v>
                </c:pt>
                <c:pt idx="2">
                  <c:v>45.038333333328481</c:v>
                </c:pt>
                <c:pt idx="3">
                  <c:v>59.038333333328481</c:v>
                </c:pt>
                <c:pt idx="4">
                  <c:v>70.913333333328481</c:v>
                </c:pt>
                <c:pt idx="5">
                  <c:v>86.83</c:v>
                </c:pt>
                <c:pt idx="6">
                  <c:v>98.788333333328481</c:v>
                </c:pt>
                <c:pt idx="7">
                  <c:v>114.41333333332848</c:v>
                </c:pt>
                <c:pt idx="8">
                  <c:v>127.12166666666424</c:v>
                </c:pt>
                <c:pt idx="9">
                  <c:v>141.58000000000001</c:v>
                </c:pt>
                <c:pt idx="10">
                  <c:v>155.5383333333285</c:v>
                </c:pt>
                <c:pt idx="11">
                  <c:v>168.74666666666425</c:v>
                </c:pt>
                <c:pt idx="12">
                  <c:v>183.87166666666425</c:v>
                </c:pt>
                <c:pt idx="13">
                  <c:v>196.1633333333285</c:v>
                </c:pt>
                <c:pt idx="14">
                  <c:v>211.95500000000001</c:v>
                </c:pt>
                <c:pt idx="15">
                  <c:v>223.83</c:v>
                </c:pt>
                <c:pt idx="16">
                  <c:v>239.1633333333285</c:v>
                </c:pt>
                <c:pt idx="17">
                  <c:v>251.62166666666425</c:v>
                </c:pt>
                <c:pt idx="18">
                  <c:v>264.12166666666423</c:v>
                </c:pt>
                <c:pt idx="19">
                  <c:v>279.45499999999998</c:v>
                </c:pt>
                <c:pt idx="20">
                  <c:v>291.24666666666423</c:v>
                </c:pt>
                <c:pt idx="21">
                  <c:v>307.20499999999998</c:v>
                </c:pt>
                <c:pt idx="22">
                  <c:v>319.41333333332847</c:v>
                </c:pt>
                <c:pt idx="23">
                  <c:v>334.70499999999998</c:v>
                </c:pt>
                <c:pt idx="24">
                  <c:v>347.91333333332847</c:v>
                </c:pt>
                <c:pt idx="25">
                  <c:v>361.74666666666423</c:v>
                </c:pt>
                <c:pt idx="26">
                  <c:v>376.45499999999998</c:v>
                </c:pt>
              </c:numCache>
            </c:numRef>
          </c:xVal>
          <c:yVal>
            <c:numRef>
              <c:f>Exzentrizität!$X$6:$X$32</c:f>
              <c:numCache>
                <c:formatCode>0.000</c:formatCode>
                <c:ptCount val="27"/>
                <c:pt idx="0">
                  <c:v>4.9751695343801458E-2</c:v>
                </c:pt>
                <c:pt idx="1">
                  <c:v>4.5395402444397645E-2</c:v>
                </c:pt>
                <c:pt idx="2">
                  <c:v>4.4002793992142221E-2</c:v>
                </c:pt>
                <c:pt idx="3">
                  <c:v>4.5824967062860482E-2</c:v>
                </c:pt>
                <c:pt idx="4">
                  <c:v>4.9808170708614027E-2</c:v>
                </c:pt>
                <c:pt idx="5">
                  <c:v>5.480072699624524E-2</c:v>
                </c:pt>
                <c:pt idx="6">
                  <c:v>5.7884231536926151E-2</c:v>
                </c:pt>
                <c:pt idx="7">
                  <c:v>6.1367971208312257E-2</c:v>
                </c:pt>
                <c:pt idx="8">
                  <c:v>6.3452444369984595E-2</c:v>
                </c:pt>
                <c:pt idx="9">
                  <c:v>6.4435315209604993E-2</c:v>
                </c:pt>
                <c:pt idx="10">
                  <c:v>6.4372804163103786E-2</c:v>
                </c:pt>
                <c:pt idx="11">
                  <c:v>6.3106821524466519E-2</c:v>
                </c:pt>
                <c:pt idx="12">
                  <c:v>6.0603883132374289E-2</c:v>
                </c:pt>
                <c:pt idx="13">
                  <c:v>5.7445243671529839E-2</c:v>
                </c:pt>
                <c:pt idx="14">
                  <c:v>5.3353156872615548E-2</c:v>
                </c:pt>
                <c:pt idx="15">
                  <c:v>5.0036596950773206E-2</c:v>
                </c:pt>
                <c:pt idx="16">
                  <c:v>4.5936322610027738E-2</c:v>
                </c:pt>
                <c:pt idx="17">
                  <c:v>4.4731679705975858E-2</c:v>
                </c:pt>
                <c:pt idx="18">
                  <c:v>4.5926086855316142E-2</c:v>
                </c:pt>
                <c:pt idx="19">
                  <c:v>5.0239970105913814E-2</c:v>
                </c:pt>
                <c:pt idx="20">
                  <c:v>5.3681577999357542E-2</c:v>
                </c:pt>
                <c:pt idx="21">
                  <c:v>5.8331290007877672E-2</c:v>
                </c:pt>
                <c:pt idx="22">
                  <c:v>6.1600818747541079E-2</c:v>
                </c:pt>
                <c:pt idx="23">
                  <c:v>6.4250929465361054E-2</c:v>
                </c:pt>
                <c:pt idx="24">
                  <c:v>6.5561096799385724E-2</c:v>
                </c:pt>
                <c:pt idx="25">
                  <c:v>6.5514851264607876E-2</c:v>
                </c:pt>
                <c:pt idx="26">
                  <c:v>6.4017792974707319E-2</c:v>
                </c:pt>
              </c:numCache>
            </c:numRef>
          </c:yVal>
          <c:smooth val="1"/>
        </c:ser>
        <c:ser>
          <c:idx val="1"/>
          <c:order val="1"/>
          <c:tx>
            <c:v>Mittel</c:v>
          </c:tx>
          <c:spPr>
            <a:ln w="31750">
              <a:solidFill>
                <a:srgbClr val="00B05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18480129023968592"/>
                  <c:y val="-1.1492860474668783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Mittel</a:t>
                    </a:r>
                  </a:p>
                </c:rich>
              </c:tx>
              <c:spPr>
                <a:solidFill>
                  <a:schemeClr val="bg1"/>
                </a:solidFill>
                <a:ln w="15875">
                  <a:solidFill>
                    <a:schemeClr val="accent3">
                      <a:lumMod val="50000"/>
                    </a:schemeClr>
                  </a:solidFill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Exzentrizität!$U$38:$U$39</c:f>
              <c:numCache>
                <c:formatCode>0.0</c:formatCode>
                <c:ptCount val="2"/>
                <c:pt idx="0">
                  <c:v>45.038333333328481</c:v>
                </c:pt>
                <c:pt idx="1">
                  <c:v>251.62166666666425</c:v>
                </c:pt>
              </c:numCache>
            </c:numRef>
          </c:xVal>
          <c:yVal>
            <c:numRef>
              <c:f>Exzentrizität!$V$38:$V$39</c:f>
              <c:numCache>
                <c:formatCode>0.000</c:formatCode>
                <c:ptCount val="2"/>
                <c:pt idx="0">
                  <c:v>5.5072695607222305E-2</c:v>
                </c:pt>
                <c:pt idx="1">
                  <c:v>5.5072695607222305E-2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535104"/>
        <c:axId val="143557760"/>
      </c:scatterChart>
      <c:valAx>
        <c:axId val="143535104"/>
        <c:scaling>
          <c:orientation val="minMax"/>
          <c:max val="39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Tages-Nr.</a:t>
                </a:r>
              </a:p>
            </c:rich>
          </c:tx>
          <c:layout>
            <c:manualLayout>
              <c:xMode val="edge"/>
              <c:yMode val="edge"/>
              <c:x val="0.85959945029278129"/>
              <c:y val="0.8043358180227471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3557760"/>
        <c:crosses val="autoZero"/>
        <c:crossBetween val="midCat"/>
        <c:majorUnit val="50"/>
        <c:minorUnit val="10"/>
      </c:valAx>
      <c:valAx>
        <c:axId val="143557760"/>
        <c:scaling>
          <c:orientation val="minMax"/>
          <c:max val="7.0000000000000007E-2"/>
          <c:min val="3.5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</a:t>
                </a:r>
              </a:p>
            </c:rich>
          </c:tx>
          <c:layout>
            <c:manualLayout>
              <c:xMode val="edge"/>
              <c:yMode val="edge"/>
              <c:x val="0.11836563971293977"/>
              <c:y val="0.1936345092141997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0"/>
        <c:majorTickMark val="out"/>
        <c:minorTickMark val="none"/>
        <c:tickLblPos val="nextTo"/>
        <c:spPr>
          <a:ln w="19050">
            <a:solidFill>
              <a:srgbClr val="000000"/>
            </a:solidFill>
            <a:prstDash val="solid"/>
            <a:tailEnd type="arrow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353510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522" footer="0.49212598450000522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u="sng"/>
              <a:t>Diagramm 3g</a:t>
            </a:r>
            <a:r>
              <a:rPr lang="en-US" sz="1200"/>
              <a:t>   Entfernungen im</a:t>
            </a:r>
            <a:r>
              <a:rPr lang="en-US" sz="1200" baseline="0"/>
              <a:t> Apogäum 2008  </a:t>
            </a:r>
            <a:endParaRPr lang="en-US" sz="1200"/>
          </a:p>
        </c:rich>
      </c:tx>
      <c:layout>
        <c:manualLayout>
          <c:xMode val="edge"/>
          <c:yMode val="edge"/>
          <c:x val="0.13575576737118386"/>
          <c:y val="1.054890812260534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2476861444951"/>
          <c:y val="0.1490596714331435"/>
          <c:w val="0.88333241775010651"/>
          <c:h val="0.74363823873170576"/>
        </c:manualLayout>
      </c:layout>
      <c:scatterChart>
        <c:scatterStyle val="smoothMarker"/>
        <c:varyColors val="0"/>
        <c:ser>
          <c:idx val="2"/>
          <c:order val="0"/>
          <c:tx>
            <c:v>Entfernug im Apogäum</c:v>
          </c:tx>
          <c:marker>
            <c:symbol val="circle"/>
            <c:size val="4"/>
            <c:spPr>
              <a:solidFill>
                <a:schemeClr val="tx2"/>
              </a:solidFill>
            </c:spPr>
          </c:marker>
          <c:xVal>
            <c:numRef>
              <c:f>Exzentrizität!$C$5:$C$33</c:f>
              <c:numCache>
                <c:formatCode>0.0</c:formatCode>
                <c:ptCount val="29"/>
                <c:pt idx="0">
                  <c:v>3.33</c:v>
                </c:pt>
                <c:pt idx="1">
                  <c:v>19.37166666666424</c:v>
                </c:pt>
                <c:pt idx="2">
                  <c:v>31.163333333328481</c:v>
                </c:pt>
                <c:pt idx="3">
                  <c:v>45.038333333328481</c:v>
                </c:pt>
                <c:pt idx="4">
                  <c:v>59.038333333328481</c:v>
                </c:pt>
                <c:pt idx="5">
                  <c:v>70.913333333328481</c:v>
                </c:pt>
                <c:pt idx="6">
                  <c:v>86.83</c:v>
                </c:pt>
                <c:pt idx="7">
                  <c:v>98.788333333328481</c:v>
                </c:pt>
                <c:pt idx="8">
                  <c:v>114.41333333332848</c:v>
                </c:pt>
                <c:pt idx="9">
                  <c:v>127.12166666666424</c:v>
                </c:pt>
                <c:pt idx="10">
                  <c:v>141.58000000000001</c:v>
                </c:pt>
                <c:pt idx="11">
                  <c:v>155.5383333333285</c:v>
                </c:pt>
                <c:pt idx="12">
                  <c:v>168.74666666666425</c:v>
                </c:pt>
                <c:pt idx="13">
                  <c:v>183.87166666666425</c:v>
                </c:pt>
                <c:pt idx="14">
                  <c:v>196.1633333333285</c:v>
                </c:pt>
                <c:pt idx="15">
                  <c:v>211.95500000000001</c:v>
                </c:pt>
                <c:pt idx="16">
                  <c:v>223.83</c:v>
                </c:pt>
                <c:pt idx="17">
                  <c:v>239.1633333333285</c:v>
                </c:pt>
                <c:pt idx="18">
                  <c:v>251.62166666666425</c:v>
                </c:pt>
                <c:pt idx="19">
                  <c:v>264.12166666666423</c:v>
                </c:pt>
                <c:pt idx="20">
                  <c:v>279.45499999999998</c:v>
                </c:pt>
                <c:pt idx="21">
                  <c:v>291.24666666666423</c:v>
                </c:pt>
                <c:pt idx="22">
                  <c:v>307.20499999999998</c:v>
                </c:pt>
                <c:pt idx="23">
                  <c:v>319.41333333332847</c:v>
                </c:pt>
                <c:pt idx="24">
                  <c:v>334.70499999999998</c:v>
                </c:pt>
                <c:pt idx="25">
                  <c:v>347.91333333332847</c:v>
                </c:pt>
                <c:pt idx="26">
                  <c:v>361.74666666666423</c:v>
                </c:pt>
                <c:pt idx="27">
                  <c:v>376.45499999999998</c:v>
                </c:pt>
                <c:pt idx="28">
                  <c:v>388.99666666666423</c:v>
                </c:pt>
              </c:numCache>
            </c:numRef>
          </c:xVal>
          <c:yVal>
            <c:numRef>
              <c:f>Exzentrizität!$V$5:$V$33</c:f>
              <c:numCache>
                <c:formatCode>0</c:formatCode>
                <c:ptCount val="29"/>
                <c:pt idx="0">
                  <c:v>405331</c:v>
                </c:pt>
                <c:pt idx="1">
                  <c:v>404800</c:v>
                </c:pt>
                <c:pt idx="2">
                  <c:v>404533</c:v>
                </c:pt>
                <c:pt idx="3">
                  <c:v>404300</c:v>
                </c:pt>
                <c:pt idx="4">
                  <c:v>404443</c:v>
                </c:pt>
                <c:pt idx="5">
                  <c:v>404700</c:v>
                </c:pt>
                <c:pt idx="6">
                  <c:v>405092</c:v>
                </c:pt>
                <c:pt idx="7">
                  <c:v>405450</c:v>
                </c:pt>
                <c:pt idx="8">
                  <c:v>405943</c:v>
                </c:pt>
                <c:pt idx="9">
                  <c:v>406250</c:v>
                </c:pt>
                <c:pt idx="10">
                  <c:v>406403</c:v>
                </c:pt>
                <c:pt idx="11">
                  <c:v>406410</c:v>
                </c:pt>
                <c:pt idx="12">
                  <c:v>406228</c:v>
                </c:pt>
                <c:pt idx="13">
                  <c:v>405900</c:v>
                </c:pt>
                <c:pt idx="14">
                  <c:v>405452</c:v>
                </c:pt>
                <c:pt idx="15">
                  <c:v>404900</c:v>
                </c:pt>
                <c:pt idx="16">
                  <c:v>404556</c:v>
                </c:pt>
                <c:pt idx="17">
                  <c:v>404200</c:v>
                </c:pt>
                <c:pt idx="18">
                  <c:v>404214</c:v>
                </c:pt>
                <c:pt idx="19">
                  <c:v>404400</c:v>
                </c:pt>
                <c:pt idx="20">
                  <c:v>404721</c:v>
                </c:pt>
                <c:pt idx="21">
                  <c:v>405100</c:v>
                </c:pt>
                <c:pt idx="22">
                  <c:v>405724</c:v>
                </c:pt>
                <c:pt idx="23">
                  <c:v>406100</c:v>
                </c:pt>
                <c:pt idx="24">
                  <c:v>406480</c:v>
                </c:pt>
                <c:pt idx="25">
                  <c:v>406600</c:v>
                </c:pt>
                <c:pt idx="26">
                  <c:v>406601</c:v>
                </c:pt>
                <c:pt idx="27">
                  <c:v>406400</c:v>
                </c:pt>
                <c:pt idx="28">
                  <c:v>406118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573760"/>
        <c:axId val="143576064"/>
      </c:scatterChart>
      <c:valAx>
        <c:axId val="143573760"/>
        <c:scaling>
          <c:orientation val="minMax"/>
          <c:max val="4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Tagesnummer</a:t>
                </a:r>
              </a:p>
            </c:rich>
          </c:tx>
          <c:layout>
            <c:manualLayout>
              <c:xMode val="edge"/>
              <c:yMode val="edge"/>
              <c:x val="0.73270175438596497"/>
              <c:y val="0.83232440313138123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0" sourceLinked="0"/>
        <c:majorTickMark val="out"/>
        <c:minorTickMark val="out"/>
        <c:tickLblPos val="nextTo"/>
        <c:crossAx val="143576064"/>
        <c:crosses val="autoZero"/>
        <c:crossBetween val="midCat"/>
        <c:majorUnit val="50"/>
        <c:minorUnit val="10"/>
      </c:valAx>
      <c:valAx>
        <c:axId val="143576064"/>
        <c:scaling>
          <c:orientation val="minMax"/>
          <c:max val="407000"/>
          <c:min val="404000"/>
        </c:scaling>
        <c:delete val="0"/>
        <c:axPos val="l"/>
        <c:majorGridlines/>
        <c:minorGridlines/>
        <c:title>
          <c:tx>
            <c:rich>
              <a:bodyPr rot="0" vert="horz"/>
              <a:lstStyle/>
              <a:p>
                <a:pPr>
                  <a:defRPr sz="1100"/>
                </a:pPr>
                <a:r>
                  <a:rPr lang="en-US" sz="1100"/>
                  <a:t>km</a:t>
                </a:r>
              </a:p>
            </c:rich>
          </c:tx>
          <c:layout>
            <c:manualLayout>
              <c:xMode val="edge"/>
              <c:yMode val="edge"/>
              <c:x val="0.11715043514297555"/>
              <c:y val="0.11696556232799535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0" sourceLinked="1"/>
        <c:majorTickMark val="out"/>
        <c:minorTickMark val="out"/>
        <c:tickLblPos val="nextTo"/>
        <c:crossAx val="143573760"/>
        <c:crosses val="autoZero"/>
        <c:crossBetween val="midCat"/>
        <c:majorUnit val="500"/>
        <c:minorUnit val="100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 u="sng"/>
              <a:t>Diagramm 3f</a:t>
            </a:r>
            <a:r>
              <a:rPr lang="en-US" sz="1200"/>
              <a:t>   Entfernungen im Perigäum 2008 </a:t>
            </a:r>
          </a:p>
        </c:rich>
      </c:tx>
      <c:layout>
        <c:manualLayout>
          <c:xMode val="edge"/>
          <c:yMode val="edge"/>
          <c:x val="0.15561135723638189"/>
          <c:y val="7.233245734521557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855780382103437E-2"/>
          <c:y val="8.9272833701542723E-2"/>
          <c:w val="0.88333241775010651"/>
          <c:h val="0.8166206747092396"/>
        </c:manualLayout>
      </c:layout>
      <c:scatterChart>
        <c:scatterStyle val="smoothMarker"/>
        <c:varyColors val="0"/>
        <c:ser>
          <c:idx val="1"/>
          <c:order val="0"/>
          <c:tx>
            <c:v>Entfernung im Perigäum</c:v>
          </c:tx>
          <c:marker>
            <c:symbol val="diamond"/>
            <c:size val="4"/>
            <c:spPr>
              <a:solidFill>
                <a:srgbClr val="C00000"/>
              </a:solidFill>
            </c:spPr>
          </c:marker>
          <c:xVal>
            <c:numRef>
              <c:f>Exzentrizität!$C$6:$C$32</c:f>
              <c:numCache>
                <c:formatCode>0.0</c:formatCode>
                <c:ptCount val="27"/>
                <c:pt idx="0">
                  <c:v>19.37166666666424</c:v>
                </c:pt>
                <c:pt idx="1">
                  <c:v>31.163333333328481</c:v>
                </c:pt>
                <c:pt idx="2">
                  <c:v>45.038333333328481</c:v>
                </c:pt>
                <c:pt idx="3">
                  <c:v>59.038333333328481</c:v>
                </c:pt>
                <c:pt idx="4">
                  <c:v>70.913333333328481</c:v>
                </c:pt>
                <c:pt idx="5">
                  <c:v>86.83</c:v>
                </c:pt>
                <c:pt idx="6">
                  <c:v>98.788333333328481</c:v>
                </c:pt>
                <c:pt idx="7">
                  <c:v>114.41333333332848</c:v>
                </c:pt>
                <c:pt idx="8">
                  <c:v>127.12166666666424</c:v>
                </c:pt>
                <c:pt idx="9">
                  <c:v>141.58000000000001</c:v>
                </c:pt>
                <c:pt idx="10">
                  <c:v>155.5383333333285</c:v>
                </c:pt>
                <c:pt idx="11">
                  <c:v>168.74666666666425</c:v>
                </c:pt>
                <c:pt idx="12">
                  <c:v>183.87166666666425</c:v>
                </c:pt>
                <c:pt idx="13">
                  <c:v>196.1633333333285</c:v>
                </c:pt>
                <c:pt idx="14">
                  <c:v>211.95500000000001</c:v>
                </c:pt>
                <c:pt idx="15">
                  <c:v>223.83</c:v>
                </c:pt>
                <c:pt idx="16">
                  <c:v>239.1633333333285</c:v>
                </c:pt>
                <c:pt idx="17">
                  <c:v>251.62166666666425</c:v>
                </c:pt>
                <c:pt idx="18">
                  <c:v>264.12166666666423</c:v>
                </c:pt>
                <c:pt idx="19">
                  <c:v>279.45499999999998</c:v>
                </c:pt>
                <c:pt idx="20">
                  <c:v>291.24666666666423</c:v>
                </c:pt>
                <c:pt idx="21">
                  <c:v>307.20499999999998</c:v>
                </c:pt>
                <c:pt idx="22">
                  <c:v>319.41333333332847</c:v>
                </c:pt>
                <c:pt idx="23">
                  <c:v>334.70499999999998</c:v>
                </c:pt>
                <c:pt idx="24">
                  <c:v>347.91333333332847</c:v>
                </c:pt>
                <c:pt idx="25">
                  <c:v>361.74666666666423</c:v>
                </c:pt>
                <c:pt idx="26">
                  <c:v>376.45499999999998</c:v>
                </c:pt>
              </c:numCache>
            </c:numRef>
          </c:xVal>
          <c:yVal>
            <c:numRef>
              <c:f>Exzentrizität!$W$6:$W$32</c:f>
              <c:numCache>
                <c:formatCode>General</c:formatCode>
                <c:ptCount val="27"/>
                <c:pt idx="0">
                  <c:v>366430</c:v>
                </c:pt>
                <c:pt idx="1">
                  <c:v>369400</c:v>
                </c:pt>
                <c:pt idx="2">
                  <c:v>370219</c:v>
                </c:pt>
                <c:pt idx="3">
                  <c:v>369000</c:v>
                </c:pt>
                <c:pt idx="4">
                  <c:v>366298</c:v>
                </c:pt>
                <c:pt idx="5">
                  <c:v>363000</c:v>
                </c:pt>
                <c:pt idx="6">
                  <c:v>361080</c:v>
                </c:pt>
                <c:pt idx="7">
                  <c:v>359000</c:v>
                </c:pt>
                <c:pt idx="8">
                  <c:v>357771</c:v>
                </c:pt>
                <c:pt idx="9">
                  <c:v>357200</c:v>
                </c:pt>
                <c:pt idx="10">
                  <c:v>357251</c:v>
                </c:pt>
                <c:pt idx="11">
                  <c:v>358000</c:v>
                </c:pt>
                <c:pt idx="12">
                  <c:v>359513</c:v>
                </c:pt>
                <c:pt idx="13">
                  <c:v>361400</c:v>
                </c:pt>
                <c:pt idx="14">
                  <c:v>363883</c:v>
                </c:pt>
                <c:pt idx="15">
                  <c:v>366000</c:v>
                </c:pt>
                <c:pt idx="16">
                  <c:v>368696</c:v>
                </c:pt>
                <c:pt idx="17">
                  <c:v>369600</c:v>
                </c:pt>
                <c:pt idx="18">
                  <c:v>368886</c:v>
                </c:pt>
                <c:pt idx="19">
                  <c:v>366000</c:v>
                </c:pt>
                <c:pt idx="20">
                  <c:v>363823</c:v>
                </c:pt>
                <c:pt idx="21">
                  <c:v>361000</c:v>
                </c:pt>
                <c:pt idx="22">
                  <c:v>358971</c:v>
                </c:pt>
                <c:pt idx="23">
                  <c:v>357400</c:v>
                </c:pt>
                <c:pt idx="24">
                  <c:v>356566</c:v>
                </c:pt>
                <c:pt idx="25">
                  <c:v>356600</c:v>
                </c:pt>
                <c:pt idx="26">
                  <c:v>357497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592064"/>
        <c:axId val="143594624"/>
      </c:scatterChart>
      <c:valAx>
        <c:axId val="143592064"/>
        <c:scaling>
          <c:orientation val="minMax"/>
          <c:max val="4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Tagesnummer</a:t>
                </a:r>
              </a:p>
            </c:rich>
          </c:tx>
          <c:layout>
            <c:manualLayout>
              <c:xMode val="edge"/>
              <c:yMode val="edge"/>
              <c:x val="0.79591087923825488"/>
              <c:y val="0.94523482673585213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0" sourceLinked="0"/>
        <c:majorTickMark val="out"/>
        <c:minorTickMark val="out"/>
        <c:tickLblPos val="nextTo"/>
        <c:crossAx val="143594624"/>
        <c:crosses val="autoZero"/>
        <c:crossBetween val="midCat"/>
        <c:majorUnit val="50"/>
        <c:minorUnit val="10"/>
      </c:valAx>
      <c:valAx>
        <c:axId val="143594624"/>
        <c:scaling>
          <c:orientation val="minMax"/>
          <c:max val="371000"/>
          <c:min val="356000"/>
        </c:scaling>
        <c:delete val="0"/>
        <c:axPos val="l"/>
        <c:majorGridlines/>
        <c:minorGridlines/>
        <c:title>
          <c:tx>
            <c:rich>
              <a:bodyPr rot="0" vert="horz"/>
              <a:lstStyle/>
              <a:p>
                <a:pPr>
                  <a:defRPr sz="1100"/>
                </a:pPr>
                <a:r>
                  <a:rPr lang="en-US" sz="1100"/>
                  <a:t>km</a:t>
                </a:r>
              </a:p>
            </c:rich>
          </c:tx>
          <c:layout>
            <c:manualLayout>
              <c:xMode val="edge"/>
              <c:yMode val="edge"/>
              <c:x val="9.6097724626526951E-2"/>
              <c:y val="7.2015524125834993E-2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General" sourceLinked="1"/>
        <c:majorTickMark val="out"/>
        <c:minorTickMark val="out"/>
        <c:tickLblPos val="nextTo"/>
        <c:crossAx val="143592064"/>
        <c:crosses val="autoZero"/>
        <c:crossBetween val="midCat"/>
        <c:majorUnit val="1000"/>
        <c:minorUnit val="500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100"/>
              <a:t>Diagramm 3c</a:t>
            </a:r>
            <a:r>
              <a:rPr lang="de-DE" sz="1100" u="none"/>
              <a:t>     Sonne und Erde mit den Richtungen zum Apogäum</a:t>
            </a:r>
          </a:p>
          <a:p>
            <a:pPr>
              <a:defRPr sz="11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100" u="none"/>
              <a:t>  </a:t>
            </a:r>
            <a:r>
              <a:rPr lang="de-DE" sz="1100" b="1" i="0" u="none" strike="noStrike" baseline="0">
                <a:effectLst/>
              </a:rPr>
              <a:t>2008</a:t>
            </a:r>
            <a:r>
              <a:rPr lang="de-DE" sz="1100" b="1" i="0" u="sng" strike="noStrike" baseline="0">
                <a:effectLst/>
              </a:rPr>
              <a:t> </a:t>
            </a:r>
            <a:endParaRPr lang="de-DE" sz="1100" u="none"/>
          </a:p>
        </c:rich>
      </c:tx>
      <c:layout>
        <c:manualLayout>
          <c:xMode val="edge"/>
          <c:yMode val="edge"/>
          <c:x val="0.14929550185537152"/>
          <c:y val="9.345747839914170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106312292358806E-2"/>
          <c:y val="8.5669912246143023E-2"/>
          <c:w val="0.85049833887043191"/>
          <c:h val="0.85514148769333542"/>
        </c:manualLayout>
      </c:layout>
      <c:scatterChart>
        <c:scatterStyle val="smoothMarker"/>
        <c:varyColors val="0"/>
        <c:ser>
          <c:idx val="0"/>
          <c:order val="0"/>
          <c:tx>
            <c:v>Erdbahn</c:v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7.3977192506109152E-2"/>
                  <c:y val="-1.6582629873968458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3.1.08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Exzentrizität!$M$5:$M$31</c:f>
              <c:numCache>
                <c:formatCode>0.00</c:formatCode>
                <c:ptCount val="27"/>
                <c:pt idx="0">
                  <c:v>-0.20722876435828216</c:v>
                </c:pt>
                <c:pt idx="1">
                  <c:v>-0.47362712721695577</c:v>
                </c:pt>
                <c:pt idx="2">
                  <c:v>-0.64904981169089759</c:v>
                </c:pt>
                <c:pt idx="3">
                  <c:v>-0.81573397049902774</c:v>
                </c:pt>
                <c:pt idx="4">
                  <c:v>-0.93213432724111367</c:v>
                </c:pt>
                <c:pt idx="5">
                  <c:v>-0.98710834550681237</c:v>
                </c:pt>
                <c:pt idx="6">
                  <c:v>-0.99317064953848611</c:v>
                </c:pt>
                <c:pt idx="7">
                  <c:v>-0.94815738489005108</c:v>
                </c:pt>
                <c:pt idx="8">
                  <c:v>-0.83666873290366961</c:v>
                </c:pt>
                <c:pt idx="9">
                  <c:v>-0.69666443497848041</c:v>
                </c:pt>
                <c:pt idx="10">
                  <c:v>-0.4951554286552266</c:v>
                </c:pt>
                <c:pt idx="11">
                  <c:v>-0.27982901403099192</c:v>
                </c:pt>
                <c:pt idx="12">
                  <c:v>-6.6622194773348478E-2</c:v>
                </c:pt>
                <c:pt idx="13">
                  <c:v>0.18206391236217909</c:v>
                </c:pt>
                <c:pt idx="14">
                  <c:v>0.3734735453517502</c:v>
                </c:pt>
                <c:pt idx="15">
                  <c:v>0.60473812634969959</c:v>
                </c:pt>
                <c:pt idx="16">
                  <c:v>0.75126413350351096</c:v>
                </c:pt>
                <c:pt idx="17">
                  <c:v>0.89203430160854824</c:v>
                </c:pt>
                <c:pt idx="18">
                  <c:v>0.96910189128972857</c:v>
                </c:pt>
                <c:pt idx="19">
                  <c:v>0.99897056979071475</c:v>
                </c:pt>
                <c:pt idx="20">
                  <c:v>0.97771000650821194</c:v>
                </c:pt>
                <c:pt idx="21">
                  <c:v>0.9136164326642493</c:v>
                </c:pt>
                <c:pt idx="22">
                  <c:v>0.76671714857592521</c:v>
                </c:pt>
                <c:pt idx="23">
                  <c:v>0.61593650545566203</c:v>
                </c:pt>
                <c:pt idx="24">
                  <c:v>0.37217795077787158</c:v>
                </c:pt>
                <c:pt idx="25">
                  <c:v>0.15057068452350825</c:v>
                </c:pt>
                <c:pt idx="26">
                  <c:v>-9.7582899759149772E-2</c:v>
                </c:pt>
              </c:numCache>
            </c:numRef>
          </c:xVal>
          <c:yVal>
            <c:numRef>
              <c:f>Exzentrizität!$N$5:$N$31</c:f>
              <c:numCache>
                <c:formatCode>0.00</c:formatCode>
                <c:ptCount val="27"/>
                <c:pt idx="0">
                  <c:v>0.97829251209571244</c:v>
                </c:pt>
                <c:pt idx="1">
                  <c:v>0.88072546480967251</c:v>
                </c:pt>
                <c:pt idx="2">
                  <c:v>0.76074591155260918</c:v>
                </c:pt>
                <c:pt idx="3">
                  <c:v>0.57842725504067616</c:v>
                </c:pt>
                <c:pt idx="4">
                  <c:v>0.36211268408985114</c:v>
                </c:pt>
                <c:pt idx="5">
                  <c:v>0.16005347303574352</c:v>
                </c:pt>
                <c:pt idx="6">
                  <c:v>-0.11667073709933312</c:v>
                </c:pt>
                <c:pt idx="7">
                  <c:v>-0.31780115399170517</c:v>
                </c:pt>
                <c:pt idx="8">
                  <c:v>-0.54770925807527482</c:v>
                </c:pt>
                <c:pt idx="9">
                  <c:v>-0.71739714596317894</c:v>
                </c:pt>
                <c:pt idx="10">
                  <c:v>-0.86880440921605528</c:v>
                </c:pt>
                <c:pt idx="11">
                  <c:v>-0.96004985438592871</c:v>
                </c:pt>
                <c:pt idx="12">
                  <c:v>-0.99777827354757631</c:v>
                </c:pt>
                <c:pt idx="13">
                  <c:v>-0.9832866986873039</c:v>
                </c:pt>
                <c:pt idx="14">
                  <c:v>-0.92764083077578807</c:v>
                </c:pt>
                <c:pt idx="15">
                  <c:v>-0.79642438344079769</c:v>
                </c:pt>
                <c:pt idx="16">
                  <c:v>-0.66000166796093696</c:v>
                </c:pt>
                <c:pt idx="17">
                  <c:v>-0.45196770321976498</c:v>
                </c:pt>
                <c:pt idx="18">
                  <c:v>-0.24666074738123839</c:v>
                </c:pt>
                <c:pt idx="19">
                  <c:v>-4.5362988129253684E-2</c:v>
                </c:pt>
                <c:pt idx="20">
                  <c:v>0.20995986086324245</c:v>
                </c:pt>
                <c:pt idx="21">
                  <c:v>0.40657719312063151</c:v>
                </c:pt>
                <c:pt idx="22">
                  <c:v>0.64198505752050228</c:v>
                </c:pt>
                <c:pt idx="23">
                  <c:v>0.78779579920628362</c:v>
                </c:pt>
                <c:pt idx="24">
                  <c:v>0.92816139380755558</c:v>
                </c:pt>
                <c:pt idx="25">
                  <c:v>0.98859924588385262</c:v>
                </c:pt>
                <c:pt idx="26">
                  <c:v>0.99522739998183118</c:v>
                </c:pt>
              </c:numCache>
            </c:numRef>
          </c:yVal>
          <c:smooth val="1"/>
        </c:ser>
        <c:ser>
          <c:idx val="1"/>
          <c:order val="1"/>
          <c:tx>
            <c:v> Richtungen Erde - Wahres Apogäum</c:v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Pt>
            <c:idx val="14"/>
            <c:bubble3D val="0"/>
          </c:dPt>
          <c:dLbls>
            <c:dLbl>
              <c:idx val="5"/>
              <c:layout>
                <c:manualLayout>
                  <c:x val="-7.6689655172413787E-2"/>
                  <c:y val="-0.1057057057057057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900" b="1"/>
                      <a:t>14.2.08</a:t>
                    </a:r>
                  </a:p>
                  <a:p>
                    <a:pPr>
                      <a:defRPr/>
                    </a:pPr>
                    <a:r>
                      <a:rPr lang="en-US" sz="900" b="1"/>
                      <a:t>mini-</a:t>
                    </a:r>
                  </a:p>
                  <a:p>
                    <a:pPr>
                      <a:defRPr/>
                    </a:pPr>
                    <a:r>
                      <a:rPr lang="en-US" sz="900" b="1"/>
                      <a:t>males </a:t>
                    </a:r>
                    <a:r>
                      <a:rPr lang="en-US" sz="900" b="1" i="1"/>
                      <a:t>e</a:t>
                    </a:r>
                  </a:p>
                </c:rich>
              </c:tx>
              <c:spPr>
                <a:ln w="15875">
                  <a:solidFill>
                    <a:srgbClr val="C00000"/>
                  </a:solidFill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0.16039457567804025"/>
                  <c:y val="5.9825873117211791E-2"/>
                </c:manualLayout>
              </c:layout>
              <c:tx>
                <c:rich>
                  <a:bodyPr/>
                  <a:lstStyle/>
                  <a:p>
                    <a:r>
                      <a:rPr lang="en-US" sz="900" b="1"/>
                      <a:t>Bahnellipse</a:t>
                    </a:r>
                  </a:p>
                  <a:p>
                    <a:r>
                      <a:rPr lang="en-US" sz="900" b="1"/>
                      <a:t>übertrieben</a:t>
                    </a:r>
                  </a:p>
                  <a:p>
                    <a:r>
                      <a:rPr lang="en-US" sz="900" b="1"/>
                      <a:t>groß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1.3793525809273433E-3"/>
                  <c:y val="-0.1633633633633633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900" b="1"/>
                      <a:t>Apsidenlinie</a:t>
                    </a:r>
                  </a:p>
                  <a:p>
                    <a:pPr>
                      <a:defRPr/>
                    </a:pPr>
                    <a:r>
                      <a:rPr lang="en-US" sz="900" b="1"/>
                      <a:t>weist zur</a:t>
                    </a:r>
                  </a:p>
                  <a:p>
                    <a:pPr>
                      <a:defRPr/>
                    </a:pPr>
                    <a:r>
                      <a:rPr lang="en-US" sz="900" b="1"/>
                      <a:t>Sonne hin</a:t>
                    </a:r>
                  </a:p>
                </c:rich>
              </c:tx>
              <c:spPr>
                <a:solidFill>
                  <a:schemeClr val="bg1">
                    <a:lumMod val="95000"/>
                  </a:schemeClr>
                </a:solidFill>
                <a:ln>
                  <a:solidFill>
                    <a:schemeClr val="tx1"/>
                  </a:solidFill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8"/>
              <c:layout>
                <c:manualLayout>
                  <c:x val="-3.4517331885238485E-2"/>
                  <c:y val="-1.9633680925019506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26.12.08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Exzentrizität!$Q$108:$Q$147</c:f>
              <c:numCache>
                <c:formatCode>0.00</c:formatCode>
                <c:ptCount val="40"/>
                <c:pt idx="0">
                  <c:v>-0.34856782105726292</c:v>
                </c:pt>
                <c:pt idx="2">
                  <c:v>-0.64904981169089759</c:v>
                </c:pt>
                <c:pt idx="3">
                  <c:v>-0.77485962721070489</c:v>
                </c:pt>
                <c:pt idx="5">
                  <c:v>-0.93213432724111367</c:v>
                </c:pt>
                <c:pt idx="6">
                  <c:v>-1.0400501738209733</c:v>
                </c:pt>
                <c:pt idx="8">
                  <c:v>-0.99317064953848611</c:v>
                </c:pt>
                <c:pt idx="9">
                  <c:v>-1.084372841358811</c:v>
                </c:pt>
                <c:pt idx="11">
                  <c:v>-0.83666873290366961</c:v>
                </c:pt>
                <c:pt idx="12">
                  <c:v>-0.91684781440850427</c:v>
                </c:pt>
                <c:pt idx="14">
                  <c:v>-0.4951554286552266</c:v>
                </c:pt>
                <c:pt idx="15">
                  <c:v>-0.5787605550603433</c:v>
                </c:pt>
                <c:pt idx="17">
                  <c:v>-6.6622194773348478E-2</c:v>
                </c:pt>
                <c:pt idx="18">
                  <c:v>-0.15340118900057437</c:v>
                </c:pt>
                <c:pt idx="20">
                  <c:v>0.3734735453517502</c:v>
                </c:pt>
                <c:pt idx="21">
                  <c:v>0.2921846836123535</c:v>
                </c:pt>
                <c:pt idx="23">
                  <c:v>0.75126413350351096</c:v>
                </c:pt>
                <c:pt idx="24">
                  <c:v>0.68385055910102321</c:v>
                </c:pt>
                <c:pt idx="26">
                  <c:v>0.96910189128972857</c:v>
                </c:pt>
                <c:pt idx="27">
                  <c:v>0.92078102046623367</c:v>
                </c:pt>
                <c:pt idx="29">
                  <c:v>0.97771000650821194</c:v>
                </c:pt>
                <c:pt idx="30">
                  <c:v>0.94886179381413949</c:v>
                </c:pt>
                <c:pt idx="32">
                  <c:v>0.76671714857592521</c:v>
                </c:pt>
                <c:pt idx="33">
                  <c:v>0.75603500115959565</c:v>
                </c:pt>
                <c:pt idx="35">
                  <c:v>0.37217795077787158</c:v>
                </c:pt>
                <c:pt idx="36">
                  <c:v>0.37079042515320348</c:v>
                </c:pt>
                <c:pt idx="38">
                  <c:v>-9.7582899759149772E-2</c:v>
                </c:pt>
                <c:pt idx="39">
                  <c:v>-0.1077973567812921</c:v>
                </c:pt>
              </c:numCache>
            </c:numRef>
          </c:xVal>
          <c:yVal>
            <c:numRef>
              <c:f>Exzentrizität!$R$108:$R$147</c:f>
              <c:numCache>
                <c:formatCode>0.00</c:formatCode>
                <c:ptCount val="40"/>
                <c:pt idx="0">
                  <c:v>0.83678890418608243</c:v>
                </c:pt>
                <c:pt idx="2">
                  <c:v>0.76074591155260918</c:v>
                </c:pt>
                <c:pt idx="3">
                  <c:v>0.60527279387990007</c:v>
                </c:pt>
                <c:pt idx="5">
                  <c:v>0.36211268408985114</c:v>
                </c:pt>
                <c:pt idx="6">
                  <c:v>0.19372571886702816</c:v>
                </c:pt>
                <c:pt idx="8">
                  <c:v>-0.11667073709933312</c:v>
                </c:pt>
                <c:pt idx="9">
                  <c:v>-0.29466556906691777</c:v>
                </c:pt>
                <c:pt idx="11">
                  <c:v>-0.54770925807527482</c:v>
                </c:pt>
                <c:pt idx="12">
                  <c:v>-0.73093402411153174</c:v>
                </c:pt>
                <c:pt idx="14">
                  <c:v>-0.86880440921605528</c:v>
                </c:pt>
                <c:pt idx="15">
                  <c:v>-1.0504914556414526</c:v>
                </c:pt>
                <c:pt idx="17">
                  <c:v>-0.99777827354757631</c:v>
                </c:pt>
                <c:pt idx="18">
                  <c:v>-1.1779709652997978</c:v>
                </c:pt>
                <c:pt idx="20">
                  <c:v>-0.92764083077578807</c:v>
                </c:pt>
                <c:pt idx="21">
                  <c:v>-1.1103759422270723</c:v>
                </c:pt>
                <c:pt idx="23">
                  <c:v>-0.66000166796093696</c:v>
                </c:pt>
                <c:pt idx="24">
                  <c:v>-0.84829773798439834</c:v>
                </c:pt>
                <c:pt idx="26">
                  <c:v>-0.24666074738123839</c:v>
                </c:pt>
                <c:pt idx="27">
                  <c:v>-0.44073571599609901</c:v>
                </c:pt>
                <c:pt idx="29">
                  <c:v>0.20995986086324245</c:v>
                </c:pt>
                <c:pt idx="30">
                  <c:v>1.2051345067793234E-2</c:v>
                </c:pt>
                <c:pt idx="32">
                  <c:v>0.64198505752050228</c:v>
                </c:pt>
                <c:pt idx="33">
                  <c:v>0.44227053194317778</c:v>
                </c:pt>
                <c:pt idx="35">
                  <c:v>0.92816139380755558</c:v>
                </c:pt>
                <c:pt idx="36">
                  <c:v>0.7281662069338688</c:v>
                </c:pt>
                <c:pt idx="38">
                  <c:v>0.99522739998183118</c:v>
                </c:pt>
                <c:pt idx="39">
                  <c:v>0.79548840812560195</c:v>
                </c:pt>
              </c:numCache>
            </c:numRef>
          </c:yVal>
          <c:smooth val="0"/>
        </c:ser>
        <c:ser>
          <c:idx val="4"/>
          <c:order val="2"/>
          <c:tx>
            <c:v>Sonne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elete val="1"/>
          </c:dLbls>
          <c:xVal>
            <c:numRef>
              <c:f>Exzentrizität!$N$39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Exzentrizität!$O$39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43821440"/>
        <c:axId val="143831424"/>
      </c:scatterChart>
      <c:scatterChart>
        <c:scatterStyle val="lineMarker"/>
        <c:varyColors val="0"/>
        <c:ser>
          <c:idx val="2"/>
          <c:order val="3"/>
          <c:tx>
            <c:v>Linien Sonne-Erde</c:v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1.3379310344827587E-2"/>
                  <c:y val="8.865470194604052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900" b="1"/>
                      <a:t>Apsidenlinie </a:t>
                    </a:r>
                  </a:p>
                  <a:p>
                    <a:pPr>
                      <a:defRPr/>
                    </a:pPr>
                    <a:r>
                      <a:rPr lang="en-US" sz="900" b="1"/>
                      <a:t>senkrecht  zum Radiusvektor Sonne-Erde</a:t>
                    </a:r>
                  </a:p>
                </c:rich>
              </c:tx>
              <c:spPr>
                <a:solidFill>
                  <a:schemeClr val="bg1">
                    <a:lumMod val="95000"/>
                  </a:schemeClr>
                </a:solidFill>
                <a:ln>
                  <a:solidFill>
                    <a:schemeClr val="tx1"/>
                  </a:solidFill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7070323106163454E-3"/>
                  <c:y val="9.3754226667613367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900" b="1"/>
                      <a:t>7.9.08</a:t>
                    </a:r>
                  </a:p>
                  <a:p>
                    <a:pPr>
                      <a:defRPr/>
                    </a:pPr>
                    <a:r>
                      <a:rPr lang="en-US" sz="900" b="1"/>
                      <a:t>mini-</a:t>
                    </a:r>
                  </a:p>
                  <a:p>
                    <a:pPr>
                      <a:defRPr/>
                    </a:pPr>
                    <a:r>
                      <a:rPr lang="en-US" sz="900" b="1"/>
                      <a:t>males </a:t>
                    </a:r>
                    <a:r>
                      <a:rPr lang="en-US" sz="900" b="1" i="1"/>
                      <a:t>e</a:t>
                    </a:r>
                  </a:p>
                </c:rich>
              </c:tx>
              <c:spPr>
                <a:ln w="15875">
                  <a:solidFill>
                    <a:srgbClr val="C00000"/>
                  </a:solidFill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Exzentrizität!$N$38:$N$40</c:f>
              <c:numCache>
                <c:formatCode>0.00</c:formatCode>
                <c:ptCount val="3"/>
                <c:pt idx="0">
                  <c:v>-0.81573397049902774</c:v>
                </c:pt>
                <c:pt idx="1">
                  <c:v>0</c:v>
                </c:pt>
                <c:pt idx="2">
                  <c:v>0.96910189128972857</c:v>
                </c:pt>
              </c:numCache>
            </c:numRef>
          </c:xVal>
          <c:yVal>
            <c:numRef>
              <c:f>Exzentrizität!$O$38:$O$40</c:f>
              <c:numCache>
                <c:formatCode>0.00</c:formatCode>
                <c:ptCount val="3"/>
                <c:pt idx="0">
                  <c:v>0.57842725504067616</c:v>
                </c:pt>
                <c:pt idx="1">
                  <c:v>0</c:v>
                </c:pt>
                <c:pt idx="2">
                  <c:v>-0.24666074738123839</c:v>
                </c:pt>
              </c:numCache>
            </c:numRef>
          </c:yVal>
          <c:smooth val="0"/>
        </c:ser>
        <c:ser>
          <c:idx val="3"/>
          <c:order val="4"/>
          <c:tx>
            <c:v>Linien Sonne-Erde</c:v>
          </c:tx>
          <c:spPr>
            <a:ln w="22225">
              <a:solidFill>
                <a:srgbClr val="C00000"/>
              </a:solidFill>
              <a:prstDash val="lgDash"/>
            </a:ln>
          </c:spPr>
          <c:marker>
            <c:symbol val="none"/>
          </c:marker>
          <c:dPt>
            <c:idx val="1"/>
            <c:bubble3D val="0"/>
          </c:dPt>
          <c:dLbls>
            <c:dLbl>
              <c:idx val="0"/>
              <c:layout>
                <c:manualLayout>
                  <c:x val="-0.12224744320753009"/>
                  <c:y val="9.345950675084532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900" b="1"/>
                      <a:t>20.5.08</a:t>
                    </a:r>
                  </a:p>
                  <a:p>
                    <a:pPr>
                      <a:defRPr/>
                    </a:pPr>
                    <a:r>
                      <a:rPr lang="en-US" sz="900" b="1"/>
                      <a:t>maximales</a:t>
                    </a:r>
                    <a:r>
                      <a:rPr lang="en-US" sz="900" b="1" baseline="0"/>
                      <a:t> </a:t>
                    </a:r>
                    <a:r>
                      <a:rPr lang="en-US" sz="900" b="1" i="1" baseline="0"/>
                      <a:t>e</a:t>
                    </a:r>
                    <a:endParaRPr lang="en-US" sz="900" b="1" i="1"/>
                  </a:p>
                </c:rich>
              </c:tx>
              <c:spPr>
                <a:ln w="15875">
                  <a:solidFill>
                    <a:srgbClr val="C00000"/>
                  </a:solidFill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8965517241379309E-3"/>
                  <c:y val="-1.44144144144144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Sonne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626663046429542E-2"/>
                  <c:y val="-3.627022297888438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900" b="1"/>
                      <a:t>12.12.08 </a:t>
                    </a:r>
                  </a:p>
                  <a:p>
                    <a:pPr>
                      <a:defRPr/>
                    </a:pPr>
                    <a:r>
                      <a:rPr lang="en-US" sz="900" b="1"/>
                      <a:t>maximales </a:t>
                    </a:r>
                    <a:r>
                      <a:rPr lang="en-US" sz="900" b="1" i="1"/>
                      <a:t>e</a:t>
                    </a:r>
                  </a:p>
                </c:rich>
              </c:tx>
              <c:spPr>
                <a:ln w="15875">
                  <a:solidFill>
                    <a:srgbClr val="C00000"/>
                  </a:solidFill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Exzentrizität!$L$38:$L$40</c:f>
              <c:numCache>
                <c:formatCode>0.00</c:formatCode>
                <c:ptCount val="3"/>
                <c:pt idx="0">
                  <c:v>-0.4951554286552266</c:v>
                </c:pt>
                <c:pt idx="1">
                  <c:v>0</c:v>
                </c:pt>
                <c:pt idx="2">
                  <c:v>0.15057068452350825</c:v>
                </c:pt>
              </c:numCache>
            </c:numRef>
          </c:xVal>
          <c:yVal>
            <c:numRef>
              <c:f>Exzentrizität!$M$38:$M$40</c:f>
              <c:numCache>
                <c:formatCode>0.00</c:formatCode>
                <c:ptCount val="3"/>
                <c:pt idx="0">
                  <c:v>-0.86880440921605528</c:v>
                </c:pt>
                <c:pt idx="1">
                  <c:v>0</c:v>
                </c:pt>
                <c:pt idx="2" formatCode="0.0">
                  <c:v>0.98859924588385262</c:v>
                </c:pt>
              </c:numCache>
            </c:numRef>
          </c:yVal>
          <c:smooth val="0"/>
        </c:ser>
        <c:ser>
          <c:idx val="5"/>
          <c:order val="5"/>
          <c:tx>
            <c:v>Richtung Frühlingspunkt</c:v>
          </c:tx>
          <c:spPr>
            <a:ln w="19050">
              <a:solidFill>
                <a:srgbClr val="C00000"/>
              </a:solidFill>
              <a:headEnd type="none" w="med" len="med"/>
              <a:tailEnd type="arrow" w="med" len="me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8028780885147977E-2"/>
                  <c:y val="-3.3399446690785276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rgbClr val="C00000"/>
                        </a:solidFill>
                      </a:defRPr>
                    </a:pPr>
                    <a:r>
                      <a:rPr lang="en-US" sz="900" b="1">
                        <a:solidFill>
                          <a:srgbClr val="C00000"/>
                        </a:solidFill>
                      </a:rPr>
                      <a:t>Frühlings-</a:t>
                    </a:r>
                  </a:p>
                  <a:p>
                    <a:pPr>
                      <a:defRPr>
                        <a:solidFill>
                          <a:srgbClr val="C00000"/>
                        </a:solidFill>
                      </a:defRPr>
                    </a:pPr>
                    <a:r>
                      <a:rPr lang="en-US" sz="900" b="1">
                        <a:solidFill>
                          <a:srgbClr val="C00000"/>
                        </a:solidFill>
                      </a:rPr>
                      <a:t>punkt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Exzentrizität!$H$90:$H$91</c:f>
              <c:numCache>
                <c:formatCode>General</c:formatCode>
                <c:ptCount val="2"/>
              </c:numCache>
            </c:numRef>
          </c:xVal>
          <c:yVal>
            <c:numRef>
              <c:f>Exzentrizität!$I$90:$I$91</c:f>
              <c:numCache>
                <c:formatCode>General</c:formatCode>
                <c:ptCount val="2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821440"/>
        <c:axId val="143831424"/>
      </c:scatterChart>
      <c:valAx>
        <c:axId val="143821440"/>
        <c:scaling>
          <c:orientation val="minMax"/>
          <c:max val="1.3"/>
          <c:min val="-1.5"/>
        </c:scaling>
        <c:delete val="1"/>
        <c:axPos val="b"/>
        <c:majorGridlines>
          <c:spPr>
            <a:ln w="3175">
              <a:solidFill>
                <a:srgbClr val="FFFFFF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crossAx val="143831424"/>
        <c:crosses val="autoZero"/>
        <c:crossBetween val="midCat"/>
      </c:valAx>
      <c:valAx>
        <c:axId val="143831424"/>
        <c:scaling>
          <c:orientation val="minMax"/>
          <c:max val="1.2"/>
          <c:min val="-1.5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crossAx val="143821440"/>
        <c:crosses val="autoZero"/>
        <c:crossBetween val="midCat"/>
        <c:majorUnit val="0.5"/>
      </c:valAx>
      <c:spPr>
        <a:solidFill>
          <a:srgbClr val="FFFFFF"/>
        </a:solidFill>
        <a:ln w="3175">
          <a:solidFill>
            <a:schemeClr val="tx2">
              <a:lumMod val="40000"/>
              <a:lumOff val="60000"/>
            </a:schemeClr>
          </a:solidFill>
          <a:prstDash val="sysDash"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6335954385012218"/>
          <c:y val="0.79521865172258877"/>
          <c:w val="0.26062068965517243"/>
          <c:h val="0.13514213426024449"/>
        </c:manualLayout>
      </c:layout>
      <c:overlay val="0"/>
      <c:spPr>
        <a:solidFill>
          <a:schemeClr val="accent3">
            <a:lumMod val="20000"/>
            <a:lumOff val="80000"/>
          </a:schemeClr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511" footer="0.49212598450000511"/>
    <c:pageSetup paperSize="9" orientation="landscape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100"/>
              <a:t>Diagramm 3e</a:t>
            </a:r>
            <a:r>
              <a:rPr lang="de-DE" sz="1100" u="none"/>
              <a:t>     Sonne</a:t>
            </a:r>
            <a:r>
              <a:rPr lang="de-DE" sz="1100" u="none" baseline="0"/>
              <a:t> und</a:t>
            </a:r>
            <a:r>
              <a:rPr lang="de-DE" sz="1100" u="none"/>
              <a:t> Erde mit den Richtungen zum</a:t>
            </a:r>
            <a:r>
              <a:rPr lang="de-DE" sz="1100" u="none" baseline="0"/>
              <a:t> </a:t>
            </a:r>
            <a:r>
              <a:rPr lang="de-DE" sz="1100" b="1" i="0" u="none" strike="noStrike" baseline="0">
                <a:effectLst/>
              </a:rPr>
              <a:t>Perigäum 2008</a:t>
            </a:r>
            <a:endParaRPr lang="de-DE" sz="1100" u="none"/>
          </a:p>
        </c:rich>
      </c:tx>
      <c:layout>
        <c:manualLayout>
          <c:xMode val="edge"/>
          <c:yMode val="edge"/>
          <c:x val="0.13000397948552853"/>
          <c:y val="2.08400760249796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413136074253688E-2"/>
          <c:y val="0.12934799529369173"/>
          <c:w val="0.84357790916273878"/>
          <c:h val="0.84134835731740432"/>
        </c:manualLayout>
      </c:layout>
      <c:scatterChart>
        <c:scatterStyle val="smoothMarker"/>
        <c:varyColors val="0"/>
        <c:ser>
          <c:idx val="0"/>
          <c:order val="0"/>
          <c:tx>
            <c:v> Erdbahn</c:v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9590678327838776E-2"/>
                  <c:y val="3.5275952574893653E-2"/>
                </c:manualLayout>
              </c:layout>
              <c:tx>
                <c:rich>
                  <a:bodyPr/>
                  <a:lstStyle/>
                  <a:p>
                    <a:r>
                      <a:rPr lang="en-US" sz="900" b="1"/>
                      <a:t>3.1.08</a:t>
                    </a:r>
                  </a:p>
                  <a:p>
                    <a:r>
                      <a:rPr lang="en-US" sz="900" b="1"/>
                      <a:t>(Nr. 3)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0.1184660654442416"/>
                  <c:y val="1.6091954022988506E-2"/>
                </c:manualLayout>
              </c:layout>
              <c:tx>
                <c:rich>
                  <a:bodyPr/>
                  <a:lstStyle/>
                  <a:p>
                    <a:r>
                      <a:rPr lang="en-US" sz="900" b="1"/>
                      <a:t>23.4.08</a:t>
                    </a:r>
                  </a:p>
                  <a:p>
                    <a:r>
                      <a:rPr lang="en-US" sz="900" b="1"/>
                      <a:t>(Nr. 114)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9.4988602203271308E-2"/>
                  <c:y val="5.954602226445832E-2"/>
                </c:manualLayout>
              </c:layout>
              <c:tx>
                <c:rich>
                  <a:bodyPr/>
                  <a:lstStyle/>
                  <a:p>
                    <a:r>
                      <a:rPr lang="en-US" sz="900" b="1" i="0" baseline="0">
                        <a:effectLst/>
                      </a:rPr>
                      <a:t>20.5.08</a:t>
                    </a:r>
                    <a:endParaRPr lang="de-DE" sz="900" b="1">
                      <a:effectLst/>
                    </a:endParaRPr>
                  </a:p>
                  <a:p>
                    <a:r>
                      <a:rPr lang="en-US" sz="900" b="1" i="0" baseline="0">
                        <a:effectLst/>
                      </a:rPr>
                      <a:t>(Nr. 142)</a:t>
                    </a:r>
                    <a:endParaRPr lang="de-DE" sz="900" b="1">
                      <a:effectLst/>
                    </a:endParaRPr>
                  </a:p>
                  <a:p>
                    <a:r>
                      <a:rPr lang="en-US" sz="900" b="1" i="0" baseline="0">
                        <a:solidFill>
                          <a:srgbClr val="C00000"/>
                        </a:solidFill>
                        <a:effectLst/>
                      </a:rPr>
                      <a:t>Vollmond,</a:t>
                    </a:r>
                  </a:p>
                  <a:p>
                    <a:r>
                      <a:rPr lang="en-US" sz="900" b="1" i="1" baseline="0">
                        <a:solidFill>
                          <a:srgbClr val="C00000"/>
                        </a:solidFill>
                        <a:effectLst/>
                      </a:rPr>
                      <a:t>e</a:t>
                    </a:r>
                    <a:r>
                      <a:rPr lang="en-US" sz="900" b="1" i="0" baseline="0">
                        <a:solidFill>
                          <a:srgbClr val="C00000"/>
                        </a:solidFill>
                        <a:effectLst/>
                      </a:rPr>
                      <a:t> maximal</a:t>
                    </a:r>
                    <a:endParaRPr lang="de-DE" sz="900" b="1">
                      <a:solidFill>
                        <a:srgbClr val="C00000"/>
                      </a:solidFill>
                      <a:effectLst/>
                    </a:endParaRP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tx>
                <c:rich>
                  <a:bodyPr/>
                  <a:lstStyle/>
                  <a:p>
                    <a:r>
                      <a:rPr lang="en-US" sz="900" b="1"/>
                      <a:t>16.6.08</a:t>
                    </a:r>
                  </a:p>
                  <a:p>
                    <a:r>
                      <a:rPr lang="en-US" sz="900" b="1"/>
                      <a:t>(Nr. 169)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5.536332179930796E-2"/>
                  <c:y val="-0.10804597701149425"/>
                </c:manualLayout>
              </c:layout>
              <c:tx>
                <c:rich>
                  <a:bodyPr/>
                  <a:lstStyle/>
                  <a:p>
                    <a:r>
                      <a:rPr lang="en-US" sz="900" b="1">
                        <a:solidFill>
                          <a:sysClr val="windowText" lastClr="000000"/>
                        </a:solidFill>
                      </a:rPr>
                      <a:t>7.9.08</a:t>
                    </a:r>
                  </a:p>
                  <a:p>
                    <a:r>
                      <a:rPr lang="en-US" sz="900" b="1">
                        <a:solidFill>
                          <a:sysClr val="windowText" lastClr="000000"/>
                        </a:solidFill>
                      </a:rPr>
                      <a:t>(Nr.</a:t>
                    </a:r>
                    <a:r>
                      <a:rPr lang="en-US" sz="900" b="1" baseline="0">
                        <a:solidFill>
                          <a:sysClr val="windowText" lastClr="000000"/>
                        </a:solidFill>
                      </a:rPr>
                      <a:t> 252)</a:t>
                    </a:r>
                    <a:endParaRPr lang="en-US" sz="900" b="1">
                      <a:solidFill>
                        <a:sysClr val="windowText" lastClr="000000"/>
                      </a:solidFill>
                    </a:endParaRPr>
                  </a:p>
                  <a:p>
                    <a:r>
                      <a:rPr lang="en-US" sz="900" b="1">
                        <a:solidFill>
                          <a:srgbClr val="C00000"/>
                        </a:solidFill>
                      </a:rPr>
                      <a:t>1. Viertel,</a:t>
                    </a:r>
                  </a:p>
                  <a:p>
                    <a:r>
                      <a:rPr lang="en-US" sz="900" b="1" i="1">
                        <a:solidFill>
                          <a:srgbClr val="C00000"/>
                        </a:solidFill>
                      </a:rPr>
                      <a:t>e</a:t>
                    </a:r>
                    <a:r>
                      <a:rPr lang="en-US" sz="900" b="1" baseline="0">
                        <a:solidFill>
                          <a:srgbClr val="C00000"/>
                        </a:solidFill>
                      </a:rPr>
                      <a:t> minimal</a:t>
                    </a:r>
                    <a:endParaRPr lang="en-US" sz="900" b="1">
                      <a:solidFill>
                        <a:srgbClr val="C00000"/>
                      </a:solidFill>
                    </a:endParaRP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4.61361014994233E-2"/>
                  <c:y val="5.2873563218390804E-2"/>
                </c:manualLayout>
              </c:layout>
              <c:tx>
                <c:rich>
                  <a:bodyPr/>
                  <a:lstStyle/>
                  <a:p>
                    <a:r>
                      <a:rPr lang="en-US" sz="900" b="1"/>
                      <a:t>17.10.08</a:t>
                    </a:r>
                  </a:p>
                  <a:p>
                    <a:r>
                      <a:rPr lang="en-US" sz="900" b="1"/>
                      <a:t>(Nr. 291)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3.9250379169731814E-2"/>
                  <c:y val="-2.5683953298941079E-2"/>
                </c:manualLayout>
              </c:layout>
              <c:tx>
                <c:rich>
                  <a:bodyPr/>
                  <a:lstStyle/>
                  <a:p>
                    <a:r>
                      <a:rPr lang="en-US" sz="900" b="1"/>
                      <a:t>26.12.08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Exzentrizität!$M$5:$M$31</c:f>
              <c:numCache>
                <c:formatCode>0.00</c:formatCode>
                <c:ptCount val="27"/>
                <c:pt idx="0">
                  <c:v>-0.20722876435828216</c:v>
                </c:pt>
                <c:pt idx="1">
                  <c:v>-0.47362712721695577</c:v>
                </c:pt>
                <c:pt idx="2">
                  <c:v>-0.64904981169089759</c:v>
                </c:pt>
                <c:pt idx="3">
                  <c:v>-0.81573397049902774</c:v>
                </c:pt>
                <c:pt idx="4">
                  <c:v>-0.93213432724111367</c:v>
                </c:pt>
                <c:pt idx="5">
                  <c:v>-0.98710834550681237</c:v>
                </c:pt>
                <c:pt idx="6">
                  <c:v>-0.99317064953848611</c:v>
                </c:pt>
                <c:pt idx="7">
                  <c:v>-0.94815738489005108</c:v>
                </c:pt>
                <c:pt idx="8">
                  <c:v>-0.83666873290366961</c:v>
                </c:pt>
                <c:pt idx="9">
                  <c:v>-0.69666443497848041</c:v>
                </c:pt>
                <c:pt idx="10">
                  <c:v>-0.4951554286552266</c:v>
                </c:pt>
                <c:pt idx="11">
                  <c:v>-0.27982901403099192</c:v>
                </c:pt>
                <c:pt idx="12">
                  <c:v>-6.6622194773348478E-2</c:v>
                </c:pt>
                <c:pt idx="13">
                  <c:v>0.18206391236217909</c:v>
                </c:pt>
                <c:pt idx="14">
                  <c:v>0.3734735453517502</c:v>
                </c:pt>
                <c:pt idx="15">
                  <c:v>0.60473812634969959</c:v>
                </c:pt>
                <c:pt idx="16">
                  <c:v>0.75126413350351096</c:v>
                </c:pt>
                <c:pt idx="17">
                  <c:v>0.89203430160854824</c:v>
                </c:pt>
                <c:pt idx="18">
                  <c:v>0.96910189128972857</c:v>
                </c:pt>
                <c:pt idx="19">
                  <c:v>0.99897056979071475</c:v>
                </c:pt>
                <c:pt idx="20">
                  <c:v>0.97771000650821194</c:v>
                </c:pt>
                <c:pt idx="21">
                  <c:v>0.9136164326642493</c:v>
                </c:pt>
                <c:pt idx="22">
                  <c:v>0.76671714857592521</c:v>
                </c:pt>
                <c:pt idx="23">
                  <c:v>0.61593650545566203</c:v>
                </c:pt>
                <c:pt idx="24">
                  <c:v>0.37217795077787158</c:v>
                </c:pt>
                <c:pt idx="25">
                  <c:v>0.15057068452350825</c:v>
                </c:pt>
                <c:pt idx="26">
                  <c:v>-9.7582899759149772E-2</c:v>
                </c:pt>
              </c:numCache>
            </c:numRef>
          </c:xVal>
          <c:yVal>
            <c:numRef>
              <c:f>Exzentrizität!$N$5:$N$31</c:f>
              <c:numCache>
                <c:formatCode>0.00</c:formatCode>
                <c:ptCount val="27"/>
                <c:pt idx="0">
                  <c:v>0.97829251209571244</c:v>
                </c:pt>
                <c:pt idx="1">
                  <c:v>0.88072546480967251</c:v>
                </c:pt>
                <c:pt idx="2">
                  <c:v>0.76074591155260918</c:v>
                </c:pt>
                <c:pt idx="3">
                  <c:v>0.57842725504067616</c:v>
                </c:pt>
                <c:pt idx="4">
                  <c:v>0.36211268408985114</c:v>
                </c:pt>
                <c:pt idx="5">
                  <c:v>0.16005347303574352</c:v>
                </c:pt>
                <c:pt idx="6">
                  <c:v>-0.11667073709933312</c:v>
                </c:pt>
                <c:pt idx="7">
                  <c:v>-0.31780115399170517</c:v>
                </c:pt>
                <c:pt idx="8">
                  <c:v>-0.54770925807527482</c:v>
                </c:pt>
                <c:pt idx="9">
                  <c:v>-0.71739714596317894</c:v>
                </c:pt>
                <c:pt idx="10">
                  <c:v>-0.86880440921605528</c:v>
                </c:pt>
                <c:pt idx="11">
                  <c:v>-0.96004985438592871</c:v>
                </c:pt>
                <c:pt idx="12">
                  <c:v>-0.99777827354757631</c:v>
                </c:pt>
                <c:pt idx="13">
                  <c:v>-0.9832866986873039</c:v>
                </c:pt>
                <c:pt idx="14">
                  <c:v>-0.92764083077578807</c:v>
                </c:pt>
                <c:pt idx="15">
                  <c:v>-0.79642438344079769</c:v>
                </c:pt>
                <c:pt idx="16">
                  <c:v>-0.66000166796093696</c:v>
                </c:pt>
                <c:pt idx="17">
                  <c:v>-0.45196770321976498</c:v>
                </c:pt>
                <c:pt idx="18">
                  <c:v>-0.24666074738123839</c:v>
                </c:pt>
                <c:pt idx="19">
                  <c:v>-4.5362988129253684E-2</c:v>
                </c:pt>
                <c:pt idx="20">
                  <c:v>0.20995986086324245</c:v>
                </c:pt>
                <c:pt idx="21">
                  <c:v>0.40657719312063151</c:v>
                </c:pt>
                <c:pt idx="22">
                  <c:v>0.64198505752050228</c:v>
                </c:pt>
                <c:pt idx="23">
                  <c:v>0.78779579920628362</c:v>
                </c:pt>
                <c:pt idx="24">
                  <c:v>0.92816139380755558</c:v>
                </c:pt>
                <c:pt idx="25">
                  <c:v>0.98859924588385262</c:v>
                </c:pt>
                <c:pt idx="26">
                  <c:v>0.99522739998183118</c:v>
                </c:pt>
              </c:numCache>
            </c:numRef>
          </c:yVal>
          <c:smooth val="1"/>
        </c:ser>
        <c:ser>
          <c:idx val="1"/>
          <c:order val="1"/>
          <c:tx>
            <c:v> Richtungen Erde - Wahres Perigäum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dLbls>
            <c:delete val="1"/>
          </c:dLbls>
          <c:xVal>
            <c:numRef>
              <c:f>Exzentrizität!$O$108:$O$147</c:f>
              <c:numCache>
                <c:formatCode>0.00</c:formatCode>
                <c:ptCount val="40"/>
                <c:pt idx="2">
                  <c:v>-0.40119663079337958</c:v>
                </c:pt>
                <c:pt idx="3">
                  <c:v>-0.47362712721695577</c:v>
                </c:pt>
                <c:pt idx="5">
                  <c:v>-0.63645167405835867</c:v>
                </c:pt>
                <c:pt idx="6">
                  <c:v>-0.81573397049902774</c:v>
                </c:pt>
                <c:pt idx="8">
                  <c:v>-0.73694019063370775</c:v>
                </c:pt>
                <c:pt idx="9">
                  <c:v>-0.98710834550681237</c:v>
                </c:pt>
                <c:pt idx="11">
                  <c:v>-0.7218447310685483</c:v>
                </c:pt>
                <c:pt idx="12">
                  <c:v>-0.94815738489005108</c:v>
                </c:pt>
                <c:pt idx="14">
                  <c:v>-0.52338193826094237</c:v>
                </c:pt>
                <c:pt idx="15">
                  <c:v>-0.69666443497848041</c:v>
                </c:pt>
                <c:pt idx="17">
                  <c:v>-0.17475453874288172</c:v>
                </c:pt>
                <c:pt idx="18">
                  <c:v>-0.27982901403099192</c:v>
                </c:pt>
                <c:pt idx="20">
                  <c:v>0.21781905386036376</c:v>
                </c:pt>
                <c:pt idx="21">
                  <c:v>0.18206391236217909</c:v>
                </c:pt>
                <c:pt idx="23">
                  <c:v>0.5861208885642416</c:v>
                </c:pt>
                <c:pt idx="24">
                  <c:v>0.60473812634969959</c:v>
                </c:pt>
                <c:pt idx="26">
                  <c:v>0.88057028034138396</c:v>
                </c:pt>
                <c:pt idx="27">
                  <c:v>0.89203430160854824</c:v>
                </c:pt>
                <c:pt idx="29">
                  <c:v>1.1497520897649671</c:v>
                </c:pt>
                <c:pt idx="30">
                  <c:v>0.99897056979071475</c:v>
                </c:pt>
                <c:pt idx="32">
                  <c:v>1.0757986668797006</c:v>
                </c:pt>
                <c:pt idx="33">
                  <c:v>0.9136164326642493</c:v>
                </c:pt>
                <c:pt idx="35">
                  <c:v>0.72485089295636784</c:v>
                </c:pt>
                <c:pt idx="36">
                  <c:v>0.61593650545566203</c:v>
                </c:pt>
                <c:pt idx="38">
                  <c:v>0.17946339068847411</c:v>
                </c:pt>
                <c:pt idx="39">
                  <c:v>0.15057068452350825</c:v>
                </c:pt>
              </c:numCache>
            </c:numRef>
          </c:xVal>
          <c:yVal>
            <c:numRef>
              <c:f>Exzentrizität!$P$108:$P$147</c:f>
              <c:numCache>
                <c:formatCode>0.00</c:formatCode>
                <c:ptCount val="40"/>
                <c:pt idx="2">
                  <c:v>1.1718505636724026</c:v>
                </c:pt>
                <c:pt idx="3">
                  <c:v>0.88072546480967251</c:v>
                </c:pt>
                <c:pt idx="5">
                  <c:v>0.81896385970399976</c:v>
                </c:pt>
                <c:pt idx="6">
                  <c:v>0.57842725504067616</c:v>
                </c:pt>
                <c:pt idx="8">
                  <c:v>0.32563093009855237</c:v>
                </c:pt>
                <c:pt idx="9">
                  <c:v>0.16005347303574352</c:v>
                </c:pt>
                <c:pt idx="11">
                  <c:v>-0.12086821433896802</c:v>
                </c:pt>
                <c:pt idx="12">
                  <c:v>-0.31780115399170517</c:v>
                </c:pt>
                <c:pt idx="14">
                  <c:v>-0.47250293139015886</c:v>
                </c:pt>
                <c:pt idx="15">
                  <c:v>-0.71739714596317894</c:v>
                </c:pt>
                <c:pt idx="17">
                  <c:v>-0.67905278208280251</c:v>
                </c:pt>
                <c:pt idx="18">
                  <c:v>-0.96004985438592871</c:v>
                </c:pt>
                <c:pt idx="20">
                  <c:v>-0.685425036406901</c:v>
                </c:pt>
                <c:pt idx="21">
                  <c:v>-0.9832866986873039</c:v>
                </c:pt>
                <c:pt idx="23">
                  <c:v>-0.49700260992183715</c:v>
                </c:pt>
                <c:pt idx="24">
                  <c:v>-0.79642438344079769</c:v>
                </c:pt>
                <c:pt idx="26">
                  <c:v>-0.1521868228814986</c:v>
                </c:pt>
                <c:pt idx="27">
                  <c:v>-0.45196770321976498</c:v>
                </c:pt>
                <c:pt idx="29">
                  <c:v>0.2139918522617715</c:v>
                </c:pt>
                <c:pt idx="30">
                  <c:v>-4.5362988129253684E-2</c:v>
                </c:pt>
                <c:pt idx="32">
                  <c:v>0.65895968638211833</c:v>
                </c:pt>
                <c:pt idx="33">
                  <c:v>0.40657719312063151</c:v>
                </c:pt>
                <c:pt idx="35">
                  <c:v>1.0673269355674162</c:v>
                </c:pt>
                <c:pt idx="36">
                  <c:v>0.78779579920628362</c:v>
                </c:pt>
                <c:pt idx="38">
                  <c:v>1.2872046904599102</c:v>
                </c:pt>
                <c:pt idx="39">
                  <c:v>0.98859924588385262</c:v>
                </c:pt>
              </c:numCache>
            </c:numRef>
          </c:yVal>
          <c:smooth val="0"/>
        </c:ser>
        <c:ser>
          <c:idx val="3"/>
          <c:order val="3"/>
          <c:tx>
            <c:v>Sonne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8"/>
            <c:spPr>
              <a:solidFill>
                <a:srgbClr val="C00000"/>
              </a:solidFill>
            </c:spPr>
          </c:marker>
          <c:dLbls>
            <c:delete val="1"/>
          </c:dLbls>
          <c:xVal>
            <c:numRef>
              <c:f>Exzentrizität!$L$39:$M$39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Exzentrizität!$L$39:$M$39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43996032"/>
        <c:axId val="143997568"/>
      </c:scatterChart>
      <c:scatterChart>
        <c:scatterStyle val="lineMarker"/>
        <c:varyColors val="0"/>
        <c:ser>
          <c:idx val="2"/>
          <c:order val="2"/>
          <c:tx>
            <c:v> Richtungen Erde - Mittleres Perigäum</c:v>
          </c:tx>
          <c:spPr>
            <a:ln w="19050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9"/>
              <c:layout>
                <c:manualLayout>
                  <c:x val="-0.10380622837370244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sz="900" b="1" i="0" baseline="0">
                        <a:effectLst/>
                      </a:rPr>
                      <a:t>10.3.08</a:t>
                    </a:r>
                    <a:endParaRPr lang="de-DE" sz="900">
                      <a:effectLst/>
                    </a:endParaRPr>
                  </a:p>
                  <a:p>
                    <a:r>
                      <a:rPr lang="en-US" sz="900" b="1" i="0" baseline="0">
                        <a:effectLst/>
                      </a:rPr>
                      <a:t>(Nr. 71)</a:t>
                    </a:r>
                    <a:endParaRPr lang="de-DE" sz="900">
                      <a:effectLst/>
                    </a:endParaRP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1.8864034729222861E-2"/>
                  <c:y val="2.5063263643768666E-2"/>
                </c:manualLayout>
              </c:layout>
              <c:tx>
                <c:rich>
                  <a:bodyPr/>
                  <a:lstStyle/>
                  <a:p>
                    <a:r>
                      <a:rPr lang="en-US" sz="900" b="1" i="0" baseline="0">
                        <a:effectLst/>
                      </a:rPr>
                      <a:t>29.7.08</a:t>
                    </a:r>
                    <a:endParaRPr lang="de-DE" sz="900">
                      <a:effectLst/>
                    </a:endParaRPr>
                  </a:p>
                  <a:p>
                    <a:r>
                      <a:rPr lang="en-US" sz="900" b="1" i="0" baseline="0">
                        <a:effectLst/>
                      </a:rPr>
                      <a:t>(Nr. 212)</a:t>
                    </a:r>
                    <a:endParaRPr lang="de-DE" sz="900">
                      <a:effectLst/>
                    </a:endParaRP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Exzentrizität!$T$108:$T$147</c:f>
              <c:numCache>
                <c:formatCode>0.00</c:formatCode>
                <c:ptCount val="40"/>
                <c:pt idx="2">
                  <c:v>-0.28547255068843413</c:v>
                </c:pt>
                <c:pt idx="3">
                  <c:v>-0.47362712721695577</c:v>
                </c:pt>
                <c:pt idx="5">
                  <c:v>-0.63946645563707172</c:v>
                </c:pt>
                <c:pt idx="6">
                  <c:v>-0.81573397049902774</c:v>
                </c:pt>
                <c:pt idx="8">
                  <c:v>-0.8232683200260017</c:v>
                </c:pt>
                <c:pt idx="9">
                  <c:v>-0.98710834550681237</c:v>
                </c:pt>
                <c:pt idx="11">
                  <c:v>-0.79816816723525708</c:v>
                </c:pt>
                <c:pt idx="12">
                  <c:v>-0.94815738489005108</c:v>
                </c:pt>
                <c:pt idx="14">
                  <c:v>-0.5612047008799943</c:v>
                </c:pt>
                <c:pt idx="15">
                  <c:v>-0.69666443497848041</c:v>
                </c:pt>
                <c:pt idx="17">
                  <c:v>-0.15935404984270687</c:v>
                </c:pt>
                <c:pt idx="18">
                  <c:v>-0.27982901403099192</c:v>
                </c:pt>
                <c:pt idx="20">
                  <c:v>0.28723212679717086</c:v>
                </c:pt>
                <c:pt idx="21">
                  <c:v>0.18206391236217909</c:v>
                </c:pt>
                <c:pt idx="23">
                  <c:v>0.69441979878769078</c:v>
                </c:pt>
                <c:pt idx="24">
                  <c:v>0.60473812634969959</c:v>
                </c:pt>
                <c:pt idx="26">
                  <c:v>0.9664566611861457</c:v>
                </c:pt>
                <c:pt idx="27">
                  <c:v>0.89203430160854824</c:v>
                </c:pt>
                <c:pt idx="29">
                  <c:v>1.0592114245759927</c:v>
                </c:pt>
                <c:pt idx="30">
                  <c:v>0.99897056979071475</c:v>
                </c:pt>
                <c:pt idx="32">
                  <c:v>0.95828501724165582</c:v>
                </c:pt>
                <c:pt idx="33">
                  <c:v>0.9136164326642493</c:v>
                </c:pt>
                <c:pt idx="35">
                  <c:v>0.64430400020370526</c:v>
                </c:pt>
                <c:pt idx="36">
                  <c:v>0.61593650545566203</c:v>
                </c:pt>
                <c:pt idx="38">
                  <c:v>0.16235784317977905</c:v>
                </c:pt>
                <c:pt idx="39">
                  <c:v>0.15057068452350825</c:v>
                </c:pt>
              </c:numCache>
            </c:numRef>
          </c:xVal>
          <c:yVal>
            <c:numRef>
              <c:f>Exzentrizität!$U$108:$U$147</c:f>
              <c:numCache>
                <c:formatCode>0.00</c:formatCode>
                <c:ptCount val="40"/>
                <c:pt idx="2">
                  <c:v>1.1143873045083548</c:v>
                </c:pt>
                <c:pt idx="3">
                  <c:v>0.88072546480967251</c:v>
                </c:pt>
                <c:pt idx="5">
                  <c:v>0.82118178786012752</c:v>
                </c:pt>
                <c:pt idx="6">
                  <c:v>0.57842725504067616</c:v>
                </c:pt>
                <c:pt idx="8">
                  <c:v>0.41136293575143057</c:v>
                </c:pt>
                <c:pt idx="9">
                  <c:v>0.16005347303574352</c:v>
                </c:pt>
                <c:pt idx="11">
                  <c:v>-5.7987307964779911E-2</c:v>
                </c:pt>
                <c:pt idx="12">
                  <c:v>-0.31780115399170517</c:v>
                </c:pt>
                <c:pt idx="14">
                  <c:v>-0.44972073602392515</c:v>
                </c:pt>
                <c:pt idx="15">
                  <c:v>-0.71739714596317894</c:v>
                </c:pt>
                <c:pt idx="17">
                  <c:v>-0.68530309279658552</c:v>
                </c:pt>
                <c:pt idx="18">
                  <c:v>-0.96004985438592871</c:v>
                </c:pt>
                <c:pt idx="20">
                  <c:v>-0.70232469650096629</c:v>
                </c:pt>
                <c:pt idx="21">
                  <c:v>-0.9832866986873039</c:v>
                </c:pt>
                <c:pt idx="23">
                  <c:v>-0.51014270811259088</c:v>
                </c:pt>
                <c:pt idx="24">
                  <c:v>-0.79642438344079769</c:v>
                </c:pt>
                <c:pt idx="26">
                  <c:v>-0.16134541846702483</c:v>
                </c:pt>
                <c:pt idx="27">
                  <c:v>-0.45196770321976498</c:v>
                </c:pt>
                <c:pt idx="29">
                  <c:v>0.24852651391996725</c:v>
                </c:pt>
                <c:pt idx="30">
                  <c:v>-4.5362988129253684E-2</c:v>
                </c:pt>
                <c:pt idx="32">
                  <c:v>0.70323308392991768</c:v>
                </c:pt>
                <c:pt idx="33">
                  <c:v>0.40657719312063151</c:v>
                </c:pt>
                <c:pt idx="35">
                  <c:v>1.0864515964741748</c:v>
                </c:pt>
                <c:pt idx="36">
                  <c:v>0.78779579920628362</c:v>
                </c:pt>
                <c:pt idx="38">
                  <c:v>1.2883675945980086</c:v>
                </c:pt>
                <c:pt idx="39">
                  <c:v>0.98859924588385262</c:v>
                </c:pt>
              </c:numCache>
            </c:numRef>
          </c:yVal>
          <c:smooth val="0"/>
        </c:ser>
        <c:ser>
          <c:idx val="4"/>
          <c:order val="4"/>
          <c:tx>
            <c:v> Linien Sonne - Erde</c:v>
          </c:tx>
          <c:spPr>
            <a:ln w="19050">
              <a:solidFill>
                <a:schemeClr val="tx1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4.619422572178478E-3"/>
                  <c:y val="-7.2373427459498596E-2"/>
                </c:manualLayout>
              </c:layout>
              <c:tx>
                <c:rich>
                  <a:bodyPr/>
                  <a:lstStyle/>
                  <a:p>
                    <a:r>
                      <a:rPr lang="en-US" sz="900" b="1" i="0" baseline="0">
                        <a:effectLst/>
                      </a:rPr>
                      <a:t>12.12.08</a:t>
                    </a:r>
                    <a:endParaRPr lang="de-DE" sz="900">
                      <a:effectLst/>
                    </a:endParaRPr>
                  </a:p>
                  <a:p>
                    <a:r>
                      <a:rPr lang="en-US" sz="900" b="1" i="0" baseline="0">
                        <a:effectLst/>
                      </a:rPr>
                      <a:t>(Nr. 348)</a:t>
                    </a:r>
                    <a:endParaRPr lang="de-DE" sz="900">
                      <a:effectLst/>
                    </a:endParaRPr>
                  </a:p>
                  <a:p>
                    <a:r>
                      <a:rPr lang="en-US" sz="900" b="1" i="0" baseline="0">
                        <a:solidFill>
                          <a:srgbClr val="C00000"/>
                        </a:solidFill>
                        <a:effectLst/>
                      </a:rPr>
                      <a:t>Vollmond,</a:t>
                    </a:r>
                  </a:p>
                  <a:p>
                    <a:r>
                      <a:rPr lang="en-US" sz="900" b="1" i="1" baseline="0">
                        <a:solidFill>
                          <a:srgbClr val="C00000"/>
                        </a:solidFill>
                        <a:effectLst/>
                      </a:rPr>
                      <a:t>e</a:t>
                    </a:r>
                    <a:r>
                      <a:rPr lang="en-US" sz="900" b="1" i="0" baseline="0">
                        <a:solidFill>
                          <a:srgbClr val="C00000"/>
                        </a:solidFill>
                        <a:effectLst/>
                      </a:rPr>
                      <a:t> maximal</a:t>
                    </a:r>
                    <a:endParaRPr lang="de-DE" sz="900">
                      <a:solidFill>
                        <a:srgbClr val="C00000"/>
                      </a:solidFill>
                      <a:effectLst/>
                    </a:endParaRP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Exzentrizität!$L$38:$L$40</c:f>
              <c:numCache>
                <c:formatCode>0.00</c:formatCode>
                <c:ptCount val="3"/>
                <c:pt idx="0">
                  <c:v>-0.4951554286552266</c:v>
                </c:pt>
                <c:pt idx="1">
                  <c:v>0</c:v>
                </c:pt>
                <c:pt idx="2">
                  <c:v>0.15057068452350825</c:v>
                </c:pt>
              </c:numCache>
            </c:numRef>
          </c:xVal>
          <c:yVal>
            <c:numRef>
              <c:f>Exzentrizität!$M$38:$M$40</c:f>
              <c:numCache>
                <c:formatCode>0.00</c:formatCode>
                <c:ptCount val="3"/>
                <c:pt idx="0">
                  <c:v>-0.86880440921605528</c:v>
                </c:pt>
                <c:pt idx="1">
                  <c:v>0</c:v>
                </c:pt>
                <c:pt idx="2" formatCode="0.0">
                  <c:v>0.98859924588385262</c:v>
                </c:pt>
              </c:numCache>
            </c:numRef>
          </c:yVal>
          <c:smooth val="0"/>
        </c:ser>
        <c:ser>
          <c:idx val="5"/>
          <c:order val="5"/>
          <c:tx>
            <c:v> Linie Sonne - Erde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383736116030479"/>
                  <c:y val="-3.6781609195402298E-2"/>
                </c:manualLayout>
              </c:layout>
              <c:tx>
                <c:rich>
                  <a:bodyPr/>
                  <a:lstStyle/>
                  <a:p>
                    <a:r>
                      <a:rPr lang="en-US" sz="900" b="1" i="0" baseline="0">
                        <a:effectLst/>
                      </a:rPr>
                      <a:t>14.2.08</a:t>
                    </a:r>
                    <a:endParaRPr lang="de-DE" sz="900">
                      <a:effectLst/>
                    </a:endParaRPr>
                  </a:p>
                  <a:p>
                    <a:r>
                      <a:rPr lang="en-US" sz="900" b="1" i="0" baseline="0">
                        <a:effectLst/>
                      </a:rPr>
                      <a:t>(Nr. 45)</a:t>
                    </a:r>
                    <a:endParaRPr lang="de-DE" sz="900">
                      <a:effectLst/>
                    </a:endParaRPr>
                  </a:p>
                  <a:p>
                    <a:r>
                      <a:rPr lang="en-US" sz="900" b="1" i="0" baseline="0">
                        <a:solidFill>
                          <a:srgbClr val="C00000"/>
                        </a:solidFill>
                        <a:effectLst/>
                      </a:rPr>
                      <a:t>Mond im</a:t>
                    </a:r>
                    <a:endParaRPr lang="de-DE" sz="900">
                      <a:solidFill>
                        <a:srgbClr val="C00000"/>
                      </a:solidFill>
                      <a:effectLst/>
                    </a:endParaRPr>
                  </a:p>
                  <a:p>
                    <a:r>
                      <a:rPr lang="en-US" sz="900" b="1" i="0" baseline="0">
                        <a:solidFill>
                          <a:srgbClr val="C00000"/>
                        </a:solidFill>
                        <a:effectLst/>
                      </a:rPr>
                      <a:t>1. Viertel,</a:t>
                    </a:r>
                  </a:p>
                  <a:p>
                    <a:r>
                      <a:rPr lang="en-US" sz="900" b="1" i="1" baseline="0">
                        <a:solidFill>
                          <a:srgbClr val="C00000"/>
                        </a:solidFill>
                        <a:effectLst/>
                      </a:rPr>
                      <a:t>e</a:t>
                    </a:r>
                    <a:r>
                      <a:rPr lang="en-US" sz="900" b="1" i="0" baseline="0">
                        <a:solidFill>
                          <a:srgbClr val="C00000"/>
                        </a:solidFill>
                        <a:effectLst/>
                      </a:rPr>
                      <a:t> minimal</a:t>
                    </a:r>
                    <a:endParaRPr lang="en-US" sz="900" b="1">
                      <a:solidFill>
                        <a:srgbClr val="C00000"/>
                      </a:solidFill>
                    </a:endParaRP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1.60919540229885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Sonne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elete val="1"/>
            </c:dLbl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Exzentrizität!$N$38:$N$40</c:f>
              <c:numCache>
                <c:formatCode>0.00</c:formatCode>
                <c:ptCount val="3"/>
                <c:pt idx="0">
                  <c:v>-0.81573397049902774</c:v>
                </c:pt>
                <c:pt idx="1">
                  <c:v>0</c:v>
                </c:pt>
                <c:pt idx="2">
                  <c:v>0.96910189128972857</c:v>
                </c:pt>
              </c:numCache>
            </c:numRef>
          </c:xVal>
          <c:yVal>
            <c:numRef>
              <c:f>Exzentrizität!$O$38:$O$40</c:f>
              <c:numCache>
                <c:formatCode>0.00</c:formatCode>
                <c:ptCount val="3"/>
                <c:pt idx="0">
                  <c:v>0.57842725504067616</c:v>
                </c:pt>
                <c:pt idx="1">
                  <c:v>0</c:v>
                </c:pt>
                <c:pt idx="2">
                  <c:v>-0.24666074738123839</c:v>
                </c:pt>
              </c:numCache>
            </c:numRef>
          </c:yVal>
          <c:smooth val="0"/>
        </c:ser>
        <c:ser>
          <c:idx val="6"/>
          <c:order val="6"/>
          <c:tx>
            <c:v>Richtung Frühlingspunkt</c:v>
          </c:tx>
          <c:spPr>
            <a:ln w="19050">
              <a:solidFill>
                <a:schemeClr val="tx1"/>
              </a:solidFill>
              <a:headEnd type="none" w="med" len="med"/>
              <a:tailEnd type="arrow" w="med" len="med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layout>
                <c:manualLayout>
                  <c:x val="-4.9413036173246508E-2"/>
                  <c:y val="-3.3333333333333333E-2"/>
                </c:manualLayout>
              </c:layout>
              <c:tx>
                <c:rich>
                  <a:bodyPr/>
                  <a:lstStyle/>
                  <a:p>
                    <a:pPr>
                      <a:defRPr sz="900" b="1"/>
                    </a:pPr>
                    <a:r>
                      <a:rPr lang="en-US" sz="900" b="1"/>
                      <a:t>Frühlings-</a:t>
                    </a:r>
                  </a:p>
                  <a:p>
                    <a:pPr>
                      <a:defRPr sz="900" b="1"/>
                    </a:pPr>
                    <a:r>
                      <a:rPr lang="en-US" sz="900" b="1"/>
                      <a:t>punkt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Exzentrizität!$B$85:$B$86</c:f>
              <c:numCache>
                <c:formatCode>0.0</c:formatCode>
                <c:ptCount val="2"/>
                <c:pt idx="0">
                  <c:v>1.1000000000000001</c:v>
                </c:pt>
                <c:pt idx="1">
                  <c:v>1.4</c:v>
                </c:pt>
              </c:numCache>
            </c:numRef>
          </c:xVal>
          <c:yVal>
            <c:numRef>
              <c:f>Exzentrizität!$C$85:$C$86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996032"/>
        <c:axId val="143997568"/>
      </c:scatterChart>
      <c:valAx>
        <c:axId val="143996032"/>
        <c:scaling>
          <c:orientation val="minMax"/>
          <c:max val="1.5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noFill/>
            <a:prstDash val="sysDash"/>
            <a:tailEnd type="arrow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3997568"/>
        <c:crosses val="autoZero"/>
        <c:crossBetween val="midCat"/>
      </c:valAx>
      <c:valAx>
        <c:axId val="143997568"/>
        <c:scaling>
          <c:orientation val="minMax"/>
          <c:max val="1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noFill/>
            <a:prstDash val="sysDash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3996032"/>
        <c:crosses val="autoZero"/>
        <c:crossBetween val="midCat"/>
        <c:majorUnit val="0.5"/>
      </c:valAx>
      <c:spPr>
        <a:solidFill>
          <a:srgbClr val="FFFFFF"/>
        </a:solidFill>
        <a:ln w="3175">
          <a:solidFill>
            <a:schemeClr val="tx2">
              <a:lumMod val="40000"/>
              <a:lumOff val="60000"/>
            </a:schemeClr>
          </a:solidFill>
          <a:prstDash val="sysDash"/>
        </a:ln>
      </c:spPr>
    </c:plotArea>
    <c:legend>
      <c:legendPos val="r"/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67339690670154106"/>
          <c:y val="0.83411856276586116"/>
          <c:w val="0.29200101717389132"/>
          <c:h val="0.15668603493528824"/>
        </c:manualLayout>
      </c:layout>
      <c:overlay val="0"/>
      <c:spPr>
        <a:solidFill>
          <a:schemeClr val="accent1">
            <a:lumMod val="20000"/>
            <a:lumOff val="80000"/>
          </a:schemeClr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522" footer="0.49212598450000522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de-DE" sz="1400" u="sng"/>
              <a:t>Diagramm 2c</a:t>
            </a:r>
            <a:r>
              <a:rPr lang="de-DE" sz="1400"/>
              <a:t>  Geschwindigkeit der Knotenwanderung und  Inklination der Mondbahnebene</a:t>
            </a:r>
          </a:p>
        </c:rich>
      </c:tx>
      <c:layout>
        <c:manualLayout>
          <c:xMode val="edge"/>
          <c:yMode val="edge"/>
          <c:x val="0.16908704883227177"/>
          <c:y val="1.314883481486552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974839928448435"/>
          <c:y val="0.19119610048743907"/>
          <c:w val="0.79705300270302037"/>
          <c:h val="0.69733094838555021"/>
        </c:manualLayout>
      </c:layout>
      <c:scatterChart>
        <c:scatterStyle val="smoothMarker"/>
        <c:varyColors val="0"/>
        <c:ser>
          <c:idx val="0"/>
          <c:order val="0"/>
          <c:tx>
            <c:v>Geschw. der Mondknoten</c:v>
          </c:tx>
          <c:marker>
            <c:symbol val="diamond"/>
            <c:size val="5"/>
            <c:spPr>
              <a:solidFill>
                <a:schemeClr val="tx1"/>
              </a:solidFill>
            </c:spPr>
          </c:marker>
          <c:trendline>
            <c:spPr>
              <a:ln>
                <a:solidFill>
                  <a:schemeClr val="tx2"/>
                </a:solidFill>
              </a:ln>
            </c:spPr>
            <c:trendlineType val="movingAvg"/>
            <c:period val="2"/>
            <c:dispRSqr val="0"/>
            <c:dispEq val="0"/>
          </c:trendline>
          <c:xVal>
            <c:numRef>
              <c:f>Knotenlinie!$B$7:$B$60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24</c:v>
                </c:pt>
                <c:pt idx="3">
                  <c:v>25</c:v>
                </c:pt>
                <c:pt idx="4">
                  <c:v>38</c:v>
                </c:pt>
                <c:pt idx="5">
                  <c:v>39</c:v>
                </c:pt>
                <c:pt idx="6">
                  <c:v>51</c:v>
                </c:pt>
                <c:pt idx="7">
                  <c:v>52</c:v>
                </c:pt>
                <c:pt idx="8">
                  <c:v>66</c:v>
                </c:pt>
                <c:pt idx="9">
                  <c:v>67</c:v>
                </c:pt>
                <c:pt idx="10">
                  <c:v>79</c:v>
                </c:pt>
                <c:pt idx="11">
                  <c:v>80</c:v>
                </c:pt>
                <c:pt idx="12">
                  <c:v>93</c:v>
                </c:pt>
                <c:pt idx="13">
                  <c:v>94</c:v>
                </c:pt>
                <c:pt idx="14">
                  <c:v>106</c:v>
                </c:pt>
                <c:pt idx="15">
                  <c:v>107</c:v>
                </c:pt>
                <c:pt idx="16">
                  <c:v>120</c:v>
                </c:pt>
                <c:pt idx="17">
                  <c:v>121</c:v>
                </c:pt>
                <c:pt idx="18">
                  <c:v>133</c:v>
                </c:pt>
                <c:pt idx="19">
                  <c:v>134</c:v>
                </c:pt>
                <c:pt idx="20">
                  <c:v>147</c:v>
                </c:pt>
                <c:pt idx="21">
                  <c:v>148</c:v>
                </c:pt>
                <c:pt idx="22">
                  <c:v>160</c:v>
                </c:pt>
                <c:pt idx="23">
                  <c:v>161</c:v>
                </c:pt>
                <c:pt idx="24">
                  <c:v>174</c:v>
                </c:pt>
                <c:pt idx="25">
                  <c:v>175</c:v>
                </c:pt>
                <c:pt idx="26">
                  <c:v>187</c:v>
                </c:pt>
                <c:pt idx="27">
                  <c:v>188</c:v>
                </c:pt>
                <c:pt idx="28">
                  <c:v>202</c:v>
                </c:pt>
                <c:pt idx="29">
                  <c:v>203</c:v>
                </c:pt>
                <c:pt idx="30">
                  <c:v>215</c:v>
                </c:pt>
                <c:pt idx="31">
                  <c:v>216</c:v>
                </c:pt>
                <c:pt idx="32">
                  <c:v>229</c:v>
                </c:pt>
                <c:pt idx="33">
                  <c:v>230</c:v>
                </c:pt>
                <c:pt idx="34">
                  <c:v>242</c:v>
                </c:pt>
                <c:pt idx="35">
                  <c:v>243</c:v>
                </c:pt>
                <c:pt idx="36">
                  <c:v>256</c:v>
                </c:pt>
                <c:pt idx="37">
                  <c:v>257</c:v>
                </c:pt>
                <c:pt idx="38">
                  <c:v>269</c:v>
                </c:pt>
                <c:pt idx="39">
                  <c:v>270</c:v>
                </c:pt>
                <c:pt idx="40">
                  <c:v>284</c:v>
                </c:pt>
                <c:pt idx="41">
                  <c:v>285</c:v>
                </c:pt>
                <c:pt idx="42">
                  <c:v>296</c:v>
                </c:pt>
                <c:pt idx="43">
                  <c:v>297</c:v>
                </c:pt>
                <c:pt idx="44">
                  <c:v>311</c:v>
                </c:pt>
                <c:pt idx="45">
                  <c:v>312</c:v>
                </c:pt>
                <c:pt idx="46">
                  <c:v>323</c:v>
                </c:pt>
                <c:pt idx="47">
                  <c:v>324</c:v>
                </c:pt>
                <c:pt idx="48">
                  <c:v>338</c:v>
                </c:pt>
                <c:pt idx="49">
                  <c:v>339</c:v>
                </c:pt>
                <c:pt idx="50">
                  <c:v>350</c:v>
                </c:pt>
                <c:pt idx="51">
                  <c:v>351</c:v>
                </c:pt>
                <c:pt idx="52">
                  <c:v>365</c:v>
                </c:pt>
                <c:pt idx="53">
                  <c:v>366</c:v>
                </c:pt>
              </c:numCache>
            </c:numRef>
          </c:xVal>
          <c:yVal>
            <c:numRef>
              <c:f>Knotenlinie!$P$7:$P$60</c:f>
              <c:numCache>
                <c:formatCode>0.00</c:formatCode>
                <c:ptCount val="54"/>
                <c:pt idx="4" formatCode="0.000">
                  <c:v>1.2600890065314395E-2</c:v>
                </c:pt>
                <c:pt idx="6" formatCode="0.000">
                  <c:v>1.1965558194784224E-3</c:v>
                </c:pt>
                <c:pt idx="8" formatCode="0.000">
                  <c:v>3.0427974198004334E-3</c:v>
                </c:pt>
                <c:pt idx="10" formatCode="0.000">
                  <c:v>8.8857900407264927E-3</c:v>
                </c:pt>
                <c:pt idx="12" formatCode="0.000">
                  <c:v>3.4333707152957867E-2</c:v>
                </c:pt>
                <c:pt idx="14" formatCode="0.000">
                  <c:v>5.266015488963615E-2</c:v>
                </c:pt>
                <c:pt idx="16" formatCode="0.000">
                  <c:v>8.7183822652191822E-2</c:v>
                </c:pt>
                <c:pt idx="18" formatCode="0.000">
                  <c:v>0.10139865349127281</c:v>
                </c:pt>
                <c:pt idx="20" formatCode="0.000">
                  <c:v>0.10894955373197729</c:v>
                </c:pt>
                <c:pt idx="22" formatCode="0.000">
                  <c:v>0.10327453755984242</c:v>
                </c:pt>
                <c:pt idx="24" formatCode="0.000">
                  <c:v>7.756548018804528E-2</c:v>
                </c:pt>
                <c:pt idx="26" formatCode="0.000">
                  <c:v>6.1329498514600345E-2</c:v>
                </c:pt>
                <c:pt idx="28" formatCode="0.000">
                  <c:v>3.0424354988493506E-2</c:v>
                </c:pt>
                <c:pt idx="30" formatCode="0.000">
                  <c:v>1.4352538505419198E-2</c:v>
                </c:pt>
                <c:pt idx="32" formatCode="0.000">
                  <c:v>9.0712904901289141E-4</c:v>
                </c:pt>
                <c:pt idx="34" formatCode="0.000">
                  <c:v>1.5349500713269669E-3</c:v>
                </c:pt>
                <c:pt idx="36" formatCode="0.000">
                  <c:v>8.4141662779820704E-3</c:v>
                </c:pt>
                <c:pt idx="38" formatCode="0.000">
                  <c:v>2.5440608739440228E-2</c:v>
                </c:pt>
                <c:pt idx="40" formatCode="0.000">
                  <c:v>5.7311163238404544E-2</c:v>
                </c:pt>
                <c:pt idx="42" formatCode="0.000">
                  <c:v>8.1948637080422507E-2</c:v>
                </c:pt>
                <c:pt idx="44" formatCode="0.000">
                  <c:v>0.10698349204814522</c:v>
                </c:pt>
                <c:pt idx="46" formatCode="0.000">
                  <c:v>0.11392718591465294</c:v>
                </c:pt>
                <c:pt idx="48" formatCode="0.000">
                  <c:v>0.1091282536919973</c:v>
                </c:pt>
                <c:pt idx="50" formatCode="0.000">
                  <c:v>8.6739849106503036E-2</c:v>
                </c:pt>
                <c:pt idx="52" formatCode="0.000">
                  <c:v>5.5186780483983601E-2</c:v>
                </c:pt>
              </c:numCache>
            </c:numRef>
          </c:yVal>
          <c:smooth val="1"/>
        </c:ser>
        <c:ser>
          <c:idx val="1"/>
          <c:order val="1"/>
          <c:tx>
            <c:v>Inklination</c:v>
          </c:tx>
          <c:trendline>
            <c:spPr>
              <a:ln>
                <a:solidFill>
                  <a:srgbClr val="C00000"/>
                </a:solidFill>
              </a:ln>
            </c:spPr>
            <c:trendlineType val="movingAvg"/>
            <c:period val="2"/>
            <c:dispRSqr val="0"/>
            <c:dispEq val="0"/>
          </c:trendline>
          <c:xVal>
            <c:numRef>
              <c:f>Knotenlinie!$B$7:$B$60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24</c:v>
                </c:pt>
                <c:pt idx="3">
                  <c:v>25</c:v>
                </c:pt>
                <c:pt idx="4">
                  <c:v>38</c:v>
                </c:pt>
                <c:pt idx="5">
                  <c:v>39</c:v>
                </c:pt>
                <c:pt idx="6">
                  <c:v>51</c:v>
                </c:pt>
                <c:pt idx="7">
                  <c:v>52</c:v>
                </c:pt>
                <c:pt idx="8">
                  <c:v>66</c:v>
                </c:pt>
                <c:pt idx="9">
                  <c:v>67</c:v>
                </c:pt>
                <c:pt idx="10">
                  <c:v>79</c:v>
                </c:pt>
                <c:pt idx="11">
                  <c:v>80</c:v>
                </c:pt>
                <c:pt idx="12">
                  <c:v>93</c:v>
                </c:pt>
                <c:pt idx="13">
                  <c:v>94</c:v>
                </c:pt>
                <c:pt idx="14">
                  <c:v>106</c:v>
                </c:pt>
                <c:pt idx="15">
                  <c:v>107</c:v>
                </c:pt>
                <c:pt idx="16">
                  <c:v>120</c:v>
                </c:pt>
                <c:pt idx="17">
                  <c:v>121</c:v>
                </c:pt>
                <c:pt idx="18">
                  <c:v>133</c:v>
                </c:pt>
                <c:pt idx="19">
                  <c:v>134</c:v>
                </c:pt>
                <c:pt idx="20">
                  <c:v>147</c:v>
                </c:pt>
                <c:pt idx="21">
                  <c:v>148</c:v>
                </c:pt>
                <c:pt idx="22">
                  <c:v>160</c:v>
                </c:pt>
                <c:pt idx="23">
                  <c:v>161</c:v>
                </c:pt>
                <c:pt idx="24">
                  <c:v>174</c:v>
                </c:pt>
                <c:pt idx="25">
                  <c:v>175</c:v>
                </c:pt>
                <c:pt idx="26">
                  <c:v>187</c:v>
                </c:pt>
                <c:pt idx="27">
                  <c:v>188</c:v>
                </c:pt>
                <c:pt idx="28">
                  <c:v>202</c:v>
                </c:pt>
                <c:pt idx="29">
                  <c:v>203</c:v>
                </c:pt>
                <c:pt idx="30">
                  <c:v>215</c:v>
                </c:pt>
                <c:pt idx="31">
                  <c:v>216</c:v>
                </c:pt>
                <c:pt idx="32">
                  <c:v>229</c:v>
                </c:pt>
                <c:pt idx="33">
                  <c:v>230</c:v>
                </c:pt>
                <c:pt idx="34">
                  <c:v>242</c:v>
                </c:pt>
                <c:pt idx="35">
                  <c:v>243</c:v>
                </c:pt>
                <c:pt idx="36">
                  <c:v>256</c:v>
                </c:pt>
                <c:pt idx="37">
                  <c:v>257</c:v>
                </c:pt>
                <c:pt idx="38">
                  <c:v>269</c:v>
                </c:pt>
                <c:pt idx="39">
                  <c:v>270</c:v>
                </c:pt>
                <c:pt idx="40">
                  <c:v>284</c:v>
                </c:pt>
                <c:pt idx="41">
                  <c:v>285</c:v>
                </c:pt>
                <c:pt idx="42">
                  <c:v>296</c:v>
                </c:pt>
                <c:pt idx="43">
                  <c:v>297</c:v>
                </c:pt>
                <c:pt idx="44">
                  <c:v>311</c:v>
                </c:pt>
                <c:pt idx="45">
                  <c:v>312</c:v>
                </c:pt>
                <c:pt idx="46">
                  <c:v>323</c:v>
                </c:pt>
                <c:pt idx="47">
                  <c:v>324</c:v>
                </c:pt>
                <c:pt idx="48">
                  <c:v>338</c:v>
                </c:pt>
                <c:pt idx="49">
                  <c:v>339</c:v>
                </c:pt>
                <c:pt idx="50">
                  <c:v>350</c:v>
                </c:pt>
                <c:pt idx="51">
                  <c:v>351</c:v>
                </c:pt>
                <c:pt idx="52">
                  <c:v>365</c:v>
                </c:pt>
                <c:pt idx="53">
                  <c:v>366</c:v>
                </c:pt>
              </c:numCache>
            </c:numRef>
          </c:xVal>
          <c:yVal>
            <c:numRef>
              <c:f>Knotenlinie!$AN$7:$AN$60</c:f>
              <c:numCache>
                <c:formatCode>0.00</c:formatCode>
                <c:ptCount val="54"/>
                <c:pt idx="0">
                  <c:v>6.2999999999999987E-2</c:v>
                </c:pt>
                <c:pt idx="2">
                  <c:v>8.4000000000000075E-2</c:v>
                </c:pt>
                <c:pt idx="4">
                  <c:v>9.7500000000000045E-2</c:v>
                </c:pt>
                <c:pt idx="6">
                  <c:v>0.10199999999999995</c:v>
                </c:pt>
                <c:pt idx="8">
                  <c:v>8.7000000000000008E-2</c:v>
                </c:pt>
                <c:pt idx="10">
                  <c:v>6.8999999999999853E-2</c:v>
                </c:pt>
                <c:pt idx="12">
                  <c:v>5.0999999999999976E-2</c:v>
                </c:pt>
                <c:pt idx="14">
                  <c:v>3.6000000000000032E-2</c:v>
                </c:pt>
                <c:pt idx="16">
                  <c:v>2.2500000000000051E-2</c:v>
                </c:pt>
                <c:pt idx="18">
                  <c:v>1.2000000000000011E-2</c:v>
                </c:pt>
                <c:pt idx="20">
                  <c:v>1.0500000000000042E-2</c:v>
                </c:pt>
                <c:pt idx="22">
                  <c:v>2.4000000000000021E-2</c:v>
                </c:pt>
                <c:pt idx="24">
                  <c:v>4.0499999999999932E-2</c:v>
                </c:pt>
                <c:pt idx="26">
                  <c:v>6.150000000000002E-2</c:v>
                </c:pt>
                <c:pt idx="28">
                  <c:v>8.4000000000000075E-2</c:v>
                </c:pt>
                <c:pt idx="30">
                  <c:v>9.5999999999999822E-2</c:v>
                </c:pt>
                <c:pt idx="32">
                  <c:v>9.7500000000000045E-2</c:v>
                </c:pt>
                <c:pt idx="34">
                  <c:v>8.8499999999999981E-2</c:v>
                </c:pt>
                <c:pt idx="36">
                  <c:v>7.2000000000000064E-2</c:v>
                </c:pt>
                <c:pt idx="38">
                  <c:v>5.0999999999999976E-2</c:v>
                </c:pt>
                <c:pt idx="40">
                  <c:v>2.4000000000000021E-2</c:v>
                </c:pt>
                <c:pt idx="42">
                  <c:v>1.2000000000000011E-2</c:v>
                </c:pt>
                <c:pt idx="44">
                  <c:v>1.0500000000000042E-2</c:v>
                </c:pt>
                <c:pt idx="46">
                  <c:v>1.7399999999999947E-2</c:v>
                </c:pt>
                <c:pt idx="48">
                  <c:v>3.6000000000000032E-2</c:v>
                </c:pt>
                <c:pt idx="50">
                  <c:v>5.3999999999999916E-2</c:v>
                </c:pt>
                <c:pt idx="52">
                  <c:v>7.3500000000000024E-2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136832"/>
        <c:axId val="144143104"/>
      </c:scatterChart>
      <c:valAx>
        <c:axId val="144136832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Tages-Nummer</a:t>
                </a:r>
              </a:p>
            </c:rich>
          </c:tx>
          <c:layout>
            <c:manualLayout>
              <c:xMode val="edge"/>
              <c:yMode val="edge"/>
              <c:x val="0.74164860735691618"/>
              <c:y val="0.82973611905069244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General" sourceLinked="1"/>
        <c:majorTickMark val="out"/>
        <c:minorTickMark val="none"/>
        <c:tickLblPos val="nextTo"/>
        <c:spPr>
          <a:ln w="19050">
            <a:tailEnd type="arrow"/>
          </a:ln>
        </c:spPr>
        <c:crossAx val="144143104"/>
        <c:crosses val="autoZero"/>
        <c:crossBetween val="midCat"/>
      </c:valAx>
      <c:valAx>
        <c:axId val="144143104"/>
        <c:scaling>
          <c:orientation val="minMax"/>
          <c:max val="0.12000000000000002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l-GR" sz="1200" b="1" i="0" u="none" strike="noStrike" baseline="0">
                    <a:solidFill>
                      <a:schemeClr val="tx2"/>
                    </a:solidFill>
                  </a:rPr>
                  <a:t>Δλ</a:t>
                </a:r>
                <a:r>
                  <a:rPr lang="de-DE" sz="1200" b="1" i="0" u="none" strike="noStrike" baseline="0">
                    <a:solidFill>
                      <a:schemeClr val="tx2"/>
                    </a:solidFill>
                  </a:rPr>
                  <a:t>/</a:t>
                </a:r>
                <a:r>
                  <a:rPr lang="el-GR" sz="1200" b="1" i="0" u="none" strike="noStrike" baseline="0">
                    <a:solidFill>
                      <a:schemeClr val="tx2"/>
                    </a:solidFill>
                  </a:rPr>
                  <a:t>Δ</a:t>
                </a:r>
                <a:r>
                  <a:rPr lang="de-DE" sz="1200" b="1" i="0" u="none" strike="noStrike" baseline="0">
                    <a:solidFill>
                      <a:schemeClr val="tx2"/>
                    </a:solidFill>
                  </a:rPr>
                  <a:t>t</a:t>
                </a:r>
                <a:r>
                  <a:rPr lang="en-US" sz="1200" i="1">
                    <a:solidFill>
                      <a:schemeClr val="tx2"/>
                    </a:solidFill>
                  </a:rPr>
                  <a:t> </a:t>
                </a:r>
                <a:r>
                  <a:rPr lang="en-US" sz="1200">
                    <a:solidFill>
                      <a:schemeClr val="tx2"/>
                    </a:solidFill>
                  </a:rPr>
                  <a:t>(°/d)</a:t>
                </a:r>
              </a:p>
            </c:rich>
          </c:tx>
          <c:layout>
            <c:manualLayout>
              <c:xMode val="edge"/>
              <c:yMode val="edge"/>
              <c:x val="0.11551665914372168"/>
              <c:y val="0.14254153013482024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0.00" sourceLinked="1"/>
        <c:majorTickMark val="out"/>
        <c:minorTickMark val="out"/>
        <c:tickLblPos val="nextTo"/>
        <c:spPr>
          <a:ln w="19050">
            <a:solidFill>
              <a:schemeClr val="tx2"/>
            </a:solidFill>
            <a:tailEnd type="arrow"/>
          </a:ln>
        </c:spPr>
        <c:txPr>
          <a:bodyPr/>
          <a:lstStyle/>
          <a:p>
            <a:pPr>
              <a:defRPr>
                <a:solidFill>
                  <a:schemeClr val="tx2"/>
                </a:solidFill>
              </a:defRPr>
            </a:pPr>
            <a:endParaRPr lang="de-DE"/>
          </a:p>
        </c:txPr>
        <c:crossAx val="144136832"/>
        <c:crosses val="autoZero"/>
        <c:crossBetween val="midCat"/>
        <c:majorUnit val="2.0000000000000011E-2"/>
        <c:minorUnit val="1.0000000000000005E-2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3821020879852703"/>
          <c:y val="0.15664976304191483"/>
          <c:w val="0.5052430759587887"/>
          <c:h val="6.0251894742665367E-2"/>
        </c:manualLayout>
      </c:layout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de-DE" sz="1050" u="sng"/>
              <a:t>Diagramm 2d</a:t>
            </a:r>
            <a:r>
              <a:rPr lang="de-DE" sz="1050"/>
              <a:t>  Ebener Ausschnitt der </a:t>
            </a:r>
            <a:r>
              <a:rPr lang="de-DE" sz="1050" b="1" i="0" u="none" strike="noStrike" baseline="0">
                <a:effectLst/>
              </a:rPr>
              <a:t>Himmelskugel. Bewegungsspur des  </a:t>
            </a:r>
            <a:r>
              <a:rPr lang="de-DE" sz="1050"/>
              <a:t>Poles der Mondbahn 2008-2009. Eine volle Umrundung des Ekliptikpoles dauert 18,6 Jahre.</a:t>
            </a:r>
          </a:p>
        </c:rich>
      </c:tx>
      <c:layout>
        <c:manualLayout>
          <c:xMode val="edge"/>
          <c:yMode val="edge"/>
          <c:x val="0.15246527204547061"/>
          <c:y val="2.6267138865733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237565151765288"/>
          <c:y val="0.18609760227199193"/>
          <c:w val="0.80973381452320148"/>
          <c:h val="0.606801315809818"/>
        </c:manualLayout>
      </c:layout>
      <c:scatterChart>
        <c:scatterStyle val="lineMarker"/>
        <c:varyColors val="0"/>
        <c:ser>
          <c:idx val="2"/>
          <c:order val="0"/>
          <c:tx>
            <c:v>Pol der Ekliptik</c:v>
          </c:tx>
          <c:spPr>
            <a:ln w="25400">
              <a:noFill/>
            </a:ln>
          </c:spPr>
          <c:marker>
            <c:symbol val="x"/>
            <c:size val="8"/>
            <c:spPr>
              <a:ln w="28575">
                <a:solidFill>
                  <a:srgbClr val="C00000"/>
                </a:solidFill>
              </a:ln>
            </c:spPr>
          </c:marker>
          <c:dLbls>
            <c:dLbl>
              <c:idx val="0"/>
              <c:layout>
                <c:manualLayout>
                  <c:x val="-0.20707047212318799"/>
                  <c:y val="-2.8933086731294019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solidFill>
                          <a:srgbClr val="C00000"/>
                        </a:solidFill>
                      </a:defRPr>
                    </a:pPr>
                    <a:r>
                      <a:rPr lang="en-US" sz="1200">
                        <a:solidFill>
                          <a:srgbClr val="C00000"/>
                        </a:solidFill>
                      </a:rPr>
                      <a:t>Ekliptikpol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Knotenlinie!$W$22</c:f>
              <c:numCache>
                <c:formatCode>General</c:formatCode>
                <c:ptCount val="1"/>
                <c:pt idx="0">
                  <c:v>90</c:v>
                </c:pt>
              </c:numCache>
            </c:numRef>
          </c:xVal>
          <c:yVal>
            <c:numRef>
              <c:f>Knotenlinie!$X$22</c:f>
              <c:numCache>
                <c:formatCode>General</c:formatCode>
                <c:ptCount val="1"/>
                <c:pt idx="0">
                  <c:v>90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28736"/>
        <c:axId val="144230656"/>
      </c:scatterChart>
      <c:scatterChart>
        <c:scatterStyle val="smoothMarker"/>
        <c:varyColors val="0"/>
        <c:ser>
          <c:idx val="1"/>
          <c:order val="1"/>
          <c:tx>
            <c:v>Breitenkreise ekliptikal</c:v>
          </c:tx>
          <c:spPr>
            <a:ln w="6350"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Knotenlinie!$Z$7:$Z$22</c:f>
              <c:numCache>
                <c:formatCode>0.0</c:formatCode>
                <c:ptCount val="16"/>
                <c:pt idx="0">
                  <c:v>89.099552897647328</c:v>
                </c:pt>
                <c:pt idx="1">
                  <c:v>89.0446635108744</c:v>
                </c:pt>
                <c:pt idx="2">
                  <c:v>89.011228922063964</c:v>
                </c:pt>
                <c:pt idx="3">
                  <c:v>89</c:v>
                </c:pt>
                <c:pt idx="4">
                  <c:v>89.011228922063964</c:v>
                </c:pt>
                <c:pt idx="5">
                  <c:v>89.0446635108744</c:v>
                </c:pt>
                <c:pt idx="6">
                  <c:v>89.099552897647328</c:v>
                </c:pt>
                <c:pt idx="7">
                  <c:v>89.174664385090324</c:v>
                </c:pt>
                <c:pt idx="8">
                  <c:v>89.268311131126183</c:v>
                </c:pt>
                <c:pt idx="9">
                  <c:v>89.378390031729339</c:v>
                </c:pt>
                <c:pt idx="10">
                  <c:v>89.502428952108275</c:v>
                </c:pt>
                <c:pt idx="11">
                  <c:v>89.637642245523324</c:v>
                </c:pt>
                <c:pt idx="12">
                  <c:v>89.780993312906958</c:v>
                </c:pt>
                <c:pt idx="13">
                  <c:v>89.929262798332303</c:v>
                </c:pt>
                <c:pt idx="14">
                  <c:v>90.079120888806727</c:v>
                </c:pt>
                <c:pt idx="15">
                  <c:v>90.227202094693084</c:v>
                </c:pt>
              </c:numCache>
            </c:numRef>
          </c:xVal>
          <c:yVal>
            <c:numRef>
              <c:f>Knotenlinie!$AA$7:$AA$22</c:f>
              <c:numCache>
                <c:formatCode>0.0</c:formatCode>
                <c:ptCount val="16"/>
                <c:pt idx="0">
                  <c:v>90.434965534111228</c:v>
                </c:pt>
                <c:pt idx="1">
                  <c:v>90.295520206661337</c:v>
                </c:pt>
                <c:pt idx="2">
                  <c:v>90.149438132473605</c:v>
                </c:pt>
                <c:pt idx="3">
                  <c:v>90</c:v>
                </c:pt>
                <c:pt idx="4">
                  <c:v>89.850561867526395</c:v>
                </c:pt>
                <c:pt idx="5">
                  <c:v>89.704479793338663</c:v>
                </c:pt>
                <c:pt idx="6">
                  <c:v>89.565034465888772</c:v>
                </c:pt>
                <c:pt idx="7">
                  <c:v>89.43535752660496</c:v>
                </c:pt>
                <c:pt idx="8">
                  <c:v>89.318361239976667</c:v>
                </c:pt>
                <c:pt idx="9">
                  <c:v>89.21667309037251</c:v>
                </c:pt>
                <c:pt idx="10">
                  <c:v>89.132576774405976</c:v>
                </c:pt>
                <c:pt idx="11">
                  <c:v>89.067960914032767</c:v>
                </c:pt>
                <c:pt idx="12">
                  <c:v>89.024276642173348</c:v>
                </c:pt>
                <c:pt idx="13">
                  <c:v>89.002505013395947</c:v>
                </c:pt>
                <c:pt idx="14">
                  <c:v>89.003134971546075</c:v>
                </c:pt>
                <c:pt idx="15">
                  <c:v>89.026152369121803</c:v>
                </c:pt>
              </c:numCache>
            </c:numRef>
          </c:yVal>
          <c:smooth val="1"/>
        </c:ser>
        <c:ser>
          <c:idx val="4"/>
          <c:order val="2"/>
          <c:tx>
            <c:v>Breitenkreis 2</c:v>
          </c:tx>
          <c:spPr>
            <a:ln w="6350"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Knotenlinie!$AB$7:$AB$22</c:f>
              <c:numCache>
                <c:formatCode>0.0</c:formatCode>
                <c:ptCount val="16"/>
                <c:pt idx="0">
                  <c:v>88.199105795294642</c:v>
                </c:pt>
                <c:pt idx="1">
                  <c:v>88.089327021748787</c:v>
                </c:pt>
                <c:pt idx="2">
                  <c:v>88.022457844127914</c:v>
                </c:pt>
                <c:pt idx="3">
                  <c:v>88</c:v>
                </c:pt>
                <c:pt idx="4">
                  <c:v>88.022457844127914</c:v>
                </c:pt>
                <c:pt idx="5">
                  <c:v>88.089327021748787</c:v>
                </c:pt>
                <c:pt idx="6">
                  <c:v>88.199105795294642</c:v>
                </c:pt>
                <c:pt idx="7">
                  <c:v>88.349328770180648</c:v>
                </c:pt>
                <c:pt idx="8">
                  <c:v>88.536622262252365</c:v>
                </c:pt>
                <c:pt idx="9">
                  <c:v>88.756780063458677</c:v>
                </c:pt>
                <c:pt idx="10">
                  <c:v>89.00485790421655</c:v>
                </c:pt>
                <c:pt idx="11">
                  <c:v>89.275284491046648</c:v>
                </c:pt>
                <c:pt idx="12">
                  <c:v>89.561986625813915</c:v>
                </c:pt>
                <c:pt idx="13">
                  <c:v>89.858525596664592</c:v>
                </c:pt>
                <c:pt idx="14">
                  <c:v>90.158241777613469</c:v>
                </c:pt>
                <c:pt idx="15">
                  <c:v>90.454404189386167</c:v>
                </c:pt>
              </c:numCache>
            </c:numRef>
          </c:xVal>
          <c:yVal>
            <c:numRef>
              <c:f>Knotenlinie!$AC$7:$AC$22</c:f>
              <c:numCache>
                <c:formatCode>0.0</c:formatCode>
                <c:ptCount val="16"/>
                <c:pt idx="0">
                  <c:v>90.869931068222456</c:v>
                </c:pt>
                <c:pt idx="1">
                  <c:v>90.591040413322673</c:v>
                </c:pt>
                <c:pt idx="2">
                  <c:v>90.298876264947197</c:v>
                </c:pt>
                <c:pt idx="3">
                  <c:v>90</c:v>
                </c:pt>
                <c:pt idx="4">
                  <c:v>89.701123735052803</c:v>
                </c:pt>
                <c:pt idx="5">
                  <c:v>89.408959586677327</c:v>
                </c:pt>
                <c:pt idx="6">
                  <c:v>89.130068931777544</c:v>
                </c:pt>
                <c:pt idx="7">
                  <c:v>88.870715053209935</c:v>
                </c:pt>
                <c:pt idx="8">
                  <c:v>88.636722479953335</c:v>
                </c:pt>
                <c:pt idx="9">
                  <c:v>88.433346180745033</c:v>
                </c:pt>
                <c:pt idx="10">
                  <c:v>88.265153548811966</c:v>
                </c:pt>
                <c:pt idx="11">
                  <c:v>88.135921828065548</c:v>
                </c:pt>
                <c:pt idx="12">
                  <c:v>88.048553284346681</c:v>
                </c:pt>
                <c:pt idx="13">
                  <c:v>88.005010026791894</c:v>
                </c:pt>
                <c:pt idx="14">
                  <c:v>88.006269943092164</c:v>
                </c:pt>
                <c:pt idx="15">
                  <c:v>88.052304738243606</c:v>
                </c:pt>
              </c:numCache>
            </c:numRef>
          </c:yVal>
          <c:smooth val="1"/>
        </c:ser>
        <c:ser>
          <c:idx val="5"/>
          <c:order val="3"/>
          <c:tx>
            <c:v>Breitenkreis 3</c:v>
          </c:tx>
          <c:spPr>
            <a:ln w="6350"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Knotenlinie!$AD$7:$AD$22</c:f>
              <c:numCache>
                <c:formatCode>0.0</c:formatCode>
                <c:ptCount val="16"/>
                <c:pt idx="0">
                  <c:v>87.29865869294197</c:v>
                </c:pt>
                <c:pt idx="1">
                  <c:v>87.133990532623187</c:v>
                </c:pt>
                <c:pt idx="2">
                  <c:v>87.033686766191877</c:v>
                </c:pt>
                <c:pt idx="3">
                  <c:v>87</c:v>
                </c:pt>
                <c:pt idx="4">
                  <c:v>87.033686766191877</c:v>
                </c:pt>
                <c:pt idx="5">
                  <c:v>87.133990532623187</c:v>
                </c:pt>
                <c:pt idx="6">
                  <c:v>87.29865869294197</c:v>
                </c:pt>
                <c:pt idx="7">
                  <c:v>87.523993155270972</c:v>
                </c:pt>
                <c:pt idx="8">
                  <c:v>87.804933393378533</c:v>
                </c:pt>
                <c:pt idx="9">
                  <c:v>88.135170095188002</c:v>
                </c:pt>
                <c:pt idx="10">
                  <c:v>88.507286856324825</c:v>
                </c:pt>
                <c:pt idx="11">
                  <c:v>88.912926736569986</c:v>
                </c:pt>
                <c:pt idx="12">
                  <c:v>89.342979938720873</c:v>
                </c:pt>
                <c:pt idx="13">
                  <c:v>89.787788394996895</c:v>
                </c:pt>
                <c:pt idx="14">
                  <c:v>90.237362666420196</c:v>
                </c:pt>
                <c:pt idx="15">
                  <c:v>90.681606284079265</c:v>
                </c:pt>
              </c:numCache>
            </c:numRef>
          </c:xVal>
          <c:yVal>
            <c:numRef>
              <c:f>Knotenlinie!$AE$7:$AE$22</c:f>
              <c:numCache>
                <c:formatCode>0.0</c:formatCode>
                <c:ptCount val="16"/>
                <c:pt idx="0">
                  <c:v>91.304896602333685</c:v>
                </c:pt>
                <c:pt idx="1">
                  <c:v>90.886560619984024</c:v>
                </c:pt>
                <c:pt idx="2">
                  <c:v>90.448314397420802</c:v>
                </c:pt>
                <c:pt idx="3">
                  <c:v>90</c:v>
                </c:pt>
                <c:pt idx="4">
                  <c:v>89.551685602579198</c:v>
                </c:pt>
                <c:pt idx="5">
                  <c:v>89.113439380015976</c:v>
                </c:pt>
                <c:pt idx="6">
                  <c:v>88.695103397666315</c:v>
                </c:pt>
                <c:pt idx="7">
                  <c:v>88.306072579814895</c:v>
                </c:pt>
                <c:pt idx="8">
                  <c:v>87.955083719930002</c:v>
                </c:pt>
                <c:pt idx="9">
                  <c:v>87.650019271117543</c:v>
                </c:pt>
                <c:pt idx="10">
                  <c:v>87.397730323217942</c:v>
                </c:pt>
                <c:pt idx="11">
                  <c:v>87.203882742098315</c:v>
                </c:pt>
                <c:pt idx="12">
                  <c:v>87.072829926520029</c:v>
                </c:pt>
                <c:pt idx="13">
                  <c:v>87.00751504018784</c:v>
                </c:pt>
                <c:pt idx="14">
                  <c:v>87.009404914638239</c:v>
                </c:pt>
                <c:pt idx="15">
                  <c:v>87.078457107365409</c:v>
                </c:pt>
              </c:numCache>
            </c:numRef>
          </c:yVal>
          <c:smooth val="1"/>
        </c:ser>
        <c:ser>
          <c:idx val="6"/>
          <c:order val="4"/>
          <c:tx>
            <c:v>Breitenkreis 4</c:v>
          </c:tx>
          <c:spPr>
            <a:ln w="6350"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Knotenlinie!$AF$7:$AF$22</c:f>
              <c:numCache>
                <c:formatCode>0.0</c:formatCode>
                <c:ptCount val="16"/>
                <c:pt idx="0">
                  <c:v>86.398211590589298</c:v>
                </c:pt>
                <c:pt idx="1">
                  <c:v>86.178654043497573</c:v>
                </c:pt>
                <c:pt idx="2">
                  <c:v>86.044915688255827</c:v>
                </c:pt>
                <c:pt idx="3">
                  <c:v>86</c:v>
                </c:pt>
                <c:pt idx="4">
                  <c:v>86.044915688255827</c:v>
                </c:pt>
                <c:pt idx="5">
                  <c:v>86.178654043497573</c:v>
                </c:pt>
                <c:pt idx="6">
                  <c:v>86.398211590589298</c:v>
                </c:pt>
                <c:pt idx="7">
                  <c:v>86.698657540361282</c:v>
                </c:pt>
                <c:pt idx="8">
                  <c:v>87.073244524504716</c:v>
                </c:pt>
                <c:pt idx="9">
                  <c:v>87.513560126917341</c:v>
                </c:pt>
                <c:pt idx="10">
                  <c:v>88.009715808433086</c:v>
                </c:pt>
                <c:pt idx="11">
                  <c:v>88.55056898209331</c:v>
                </c:pt>
                <c:pt idx="12">
                  <c:v>89.123973251627831</c:v>
                </c:pt>
                <c:pt idx="13">
                  <c:v>89.717051193329183</c:v>
                </c:pt>
                <c:pt idx="14">
                  <c:v>90.316483555226938</c:v>
                </c:pt>
                <c:pt idx="15">
                  <c:v>90.908808378772349</c:v>
                </c:pt>
              </c:numCache>
            </c:numRef>
          </c:xVal>
          <c:yVal>
            <c:numRef>
              <c:f>Knotenlinie!$AG$7:$AG$22</c:f>
              <c:numCache>
                <c:formatCode>0.0</c:formatCode>
                <c:ptCount val="16"/>
                <c:pt idx="0">
                  <c:v>91.739862136444927</c:v>
                </c:pt>
                <c:pt idx="1">
                  <c:v>91.182080826645361</c:v>
                </c:pt>
                <c:pt idx="2">
                  <c:v>90.597752529894393</c:v>
                </c:pt>
                <c:pt idx="3">
                  <c:v>90</c:v>
                </c:pt>
                <c:pt idx="4">
                  <c:v>89.402247470105607</c:v>
                </c:pt>
                <c:pt idx="5">
                  <c:v>88.817919173354639</c:v>
                </c:pt>
                <c:pt idx="6">
                  <c:v>88.260137863555073</c:v>
                </c:pt>
                <c:pt idx="7">
                  <c:v>87.741430106419855</c:v>
                </c:pt>
                <c:pt idx="8">
                  <c:v>87.273444959906669</c:v>
                </c:pt>
                <c:pt idx="9">
                  <c:v>86.866692361490067</c:v>
                </c:pt>
                <c:pt idx="10">
                  <c:v>86.530307097623933</c:v>
                </c:pt>
                <c:pt idx="11">
                  <c:v>86.271843656131097</c:v>
                </c:pt>
                <c:pt idx="12">
                  <c:v>86.097106568693363</c:v>
                </c:pt>
                <c:pt idx="13">
                  <c:v>86.010020053583787</c:v>
                </c:pt>
                <c:pt idx="14">
                  <c:v>86.012539886184328</c:v>
                </c:pt>
                <c:pt idx="15">
                  <c:v>86.104609476487212</c:v>
                </c:pt>
              </c:numCache>
            </c:numRef>
          </c:yVal>
          <c:smooth val="1"/>
        </c:ser>
        <c:ser>
          <c:idx val="7"/>
          <c:order val="5"/>
          <c:tx>
            <c:v>Breitenkreis 5</c:v>
          </c:tx>
          <c:spPr>
            <a:ln w="6350"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Knotenlinie!$AH$7:$AH$22</c:f>
              <c:numCache>
                <c:formatCode>0.0</c:formatCode>
                <c:ptCount val="16"/>
                <c:pt idx="0">
                  <c:v>85.497764488236612</c:v>
                </c:pt>
                <c:pt idx="1">
                  <c:v>85.223317554371974</c:v>
                </c:pt>
                <c:pt idx="2">
                  <c:v>85.056144610319791</c:v>
                </c:pt>
                <c:pt idx="3">
                  <c:v>85</c:v>
                </c:pt>
                <c:pt idx="4">
                  <c:v>85.056144610319791</c:v>
                </c:pt>
                <c:pt idx="5">
                  <c:v>85.223317554371974</c:v>
                </c:pt>
                <c:pt idx="6">
                  <c:v>85.497764488236612</c:v>
                </c:pt>
                <c:pt idx="7">
                  <c:v>85.873321925451606</c:v>
                </c:pt>
                <c:pt idx="8">
                  <c:v>86.341555655630899</c:v>
                </c:pt>
                <c:pt idx="9">
                  <c:v>86.891950158646679</c:v>
                </c:pt>
                <c:pt idx="10">
                  <c:v>87.512144760541361</c:v>
                </c:pt>
                <c:pt idx="11">
                  <c:v>88.188211227616634</c:v>
                </c:pt>
                <c:pt idx="12">
                  <c:v>88.904966564534789</c:v>
                </c:pt>
                <c:pt idx="13">
                  <c:v>89.646313991661486</c:v>
                </c:pt>
                <c:pt idx="14">
                  <c:v>90.395604444033665</c:v>
                </c:pt>
                <c:pt idx="15">
                  <c:v>91.136010473465433</c:v>
                </c:pt>
              </c:numCache>
            </c:numRef>
          </c:xVal>
          <c:yVal>
            <c:numRef>
              <c:f>Knotenlinie!$AI$7:$AI$22</c:f>
              <c:numCache>
                <c:formatCode>0.0</c:formatCode>
                <c:ptCount val="16"/>
                <c:pt idx="0">
                  <c:v>92.174827670556155</c:v>
                </c:pt>
                <c:pt idx="1">
                  <c:v>91.477601033306698</c:v>
                </c:pt>
                <c:pt idx="2">
                  <c:v>90.747190662367998</c:v>
                </c:pt>
                <c:pt idx="3">
                  <c:v>90</c:v>
                </c:pt>
                <c:pt idx="4">
                  <c:v>89.252809337632002</c:v>
                </c:pt>
                <c:pt idx="5">
                  <c:v>88.522398966693302</c:v>
                </c:pt>
                <c:pt idx="6">
                  <c:v>87.825172329443845</c:v>
                </c:pt>
                <c:pt idx="7">
                  <c:v>87.17678763302483</c:v>
                </c:pt>
                <c:pt idx="8">
                  <c:v>86.591806199883337</c:v>
                </c:pt>
                <c:pt idx="9">
                  <c:v>86.083365451862576</c:v>
                </c:pt>
                <c:pt idx="10">
                  <c:v>85.662883872029909</c:v>
                </c:pt>
                <c:pt idx="11">
                  <c:v>85.339804570163864</c:v>
                </c:pt>
                <c:pt idx="12">
                  <c:v>85.121383210866711</c:v>
                </c:pt>
                <c:pt idx="13">
                  <c:v>85.012525066979734</c:v>
                </c:pt>
                <c:pt idx="14">
                  <c:v>85.015674857730403</c:v>
                </c:pt>
                <c:pt idx="15">
                  <c:v>85.13076184560903</c:v>
                </c:pt>
              </c:numCache>
            </c:numRef>
          </c:yVal>
          <c:smooth val="1"/>
        </c:ser>
        <c:ser>
          <c:idx val="3"/>
          <c:order val="6"/>
          <c:tx>
            <c:v>Breitenkreis 6</c:v>
          </c:tx>
          <c:spPr>
            <a:ln w="6350">
              <a:prstDash val="dash"/>
            </a:ln>
          </c:spPr>
          <c:marker>
            <c:symbol val="none"/>
          </c:marker>
          <c:xVal>
            <c:numRef>
              <c:f>Knotenlinie!$AJ$7:$AJ$22</c:f>
              <c:numCache>
                <c:formatCode>0.0</c:formatCode>
                <c:ptCount val="16"/>
                <c:pt idx="0">
                  <c:v>84.59731738588394</c:v>
                </c:pt>
                <c:pt idx="1">
                  <c:v>84.26798106524636</c:v>
                </c:pt>
                <c:pt idx="2">
                  <c:v>84.067373532383741</c:v>
                </c:pt>
                <c:pt idx="3">
                  <c:v>84</c:v>
                </c:pt>
                <c:pt idx="4">
                  <c:v>84.067373532383741</c:v>
                </c:pt>
                <c:pt idx="5">
                  <c:v>84.26798106524636</c:v>
                </c:pt>
                <c:pt idx="6">
                  <c:v>84.59731738588394</c:v>
                </c:pt>
                <c:pt idx="7">
                  <c:v>85.04798631054193</c:v>
                </c:pt>
                <c:pt idx="8">
                  <c:v>85.609866786757081</c:v>
                </c:pt>
                <c:pt idx="9">
                  <c:v>86.270340190376018</c:v>
                </c:pt>
                <c:pt idx="10">
                  <c:v>87.014573712649636</c:v>
                </c:pt>
                <c:pt idx="11">
                  <c:v>87.825853473139958</c:v>
                </c:pt>
                <c:pt idx="12">
                  <c:v>88.685959877441746</c:v>
                </c:pt>
                <c:pt idx="13">
                  <c:v>89.575576789993775</c:v>
                </c:pt>
                <c:pt idx="14">
                  <c:v>90.474725332840407</c:v>
                </c:pt>
                <c:pt idx="15">
                  <c:v>91.363212568158517</c:v>
                </c:pt>
              </c:numCache>
            </c:numRef>
          </c:xVal>
          <c:yVal>
            <c:numRef>
              <c:f>Knotenlinie!$AK$7:$AK$22</c:f>
              <c:numCache>
                <c:formatCode>0.0</c:formatCode>
                <c:ptCount val="16"/>
                <c:pt idx="0">
                  <c:v>92.609793204667383</c:v>
                </c:pt>
                <c:pt idx="1">
                  <c:v>91.773121239968035</c:v>
                </c:pt>
                <c:pt idx="2">
                  <c:v>90.89662879484159</c:v>
                </c:pt>
                <c:pt idx="3">
                  <c:v>90</c:v>
                </c:pt>
                <c:pt idx="4">
                  <c:v>89.10337120515841</c:v>
                </c:pt>
                <c:pt idx="5">
                  <c:v>88.226878760031965</c:v>
                </c:pt>
                <c:pt idx="6">
                  <c:v>87.390206795332617</c:v>
                </c:pt>
                <c:pt idx="7">
                  <c:v>86.61214515962979</c:v>
                </c:pt>
                <c:pt idx="8">
                  <c:v>85.91016743985999</c:v>
                </c:pt>
                <c:pt idx="9">
                  <c:v>85.3000385422351</c:v>
                </c:pt>
                <c:pt idx="10">
                  <c:v>84.795460646435899</c:v>
                </c:pt>
                <c:pt idx="11">
                  <c:v>84.407765484196645</c:v>
                </c:pt>
                <c:pt idx="12">
                  <c:v>84.145659853040044</c:v>
                </c:pt>
                <c:pt idx="13">
                  <c:v>84.015030080375681</c:v>
                </c:pt>
                <c:pt idx="14">
                  <c:v>84.018809829276492</c:v>
                </c:pt>
                <c:pt idx="15">
                  <c:v>84.156914214730833</c:v>
                </c:pt>
              </c:numCache>
            </c:numRef>
          </c:yVal>
          <c:smooth val="1"/>
        </c:ser>
        <c:ser>
          <c:idx val="0"/>
          <c:order val="7"/>
          <c:tx>
            <c:v>Wahrer Pol 2008 und 2009</c:v>
          </c:tx>
          <c:spPr>
            <a:ln w="28575">
              <a:solidFill>
                <a:srgbClr val="C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Knotenlinie!$T$7:$T$20</c:f>
              <c:numCache>
                <c:formatCode>0.000</c:formatCode>
                <c:ptCount val="14"/>
                <c:pt idx="0">
                  <c:v>85.622091825280208</c:v>
                </c:pt>
                <c:pt idx="1">
                  <c:v>85.54134867623317</c:v>
                </c:pt>
                <c:pt idx="2">
                  <c:v>85.566864253658352</c:v>
                </c:pt>
                <c:pt idx="3">
                  <c:v>85.713696484227441</c:v>
                </c:pt>
                <c:pt idx="4">
                  <c:v>85.910543835958464</c:v>
                </c:pt>
                <c:pt idx="5">
                  <c:v>86.097507068835156</c:v>
                </c:pt>
                <c:pt idx="6">
                  <c:v>86.13782980209038</c:v>
                </c:pt>
                <c:pt idx="7">
                  <c:v>86.077200128371459</c:v>
                </c:pt>
                <c:pt idx="8">
                  <c:v>86.044955043390303</c:v>
                </c:pt>
                <c:pt idx="9">
                  <c:v>86.122501796981567</c:v>
                </c:pt>
                <c:pt idx="10">
                  <c:v>86.334596362731048</c:v>
                </c:pt>
                <c:pt idx="11">
                  <c:v>86.544854969797768</c:v>
                </c:pt>
                <c:pt idx="12">
                  <c:v>86.678795412054725</c:v>
                </c:pt>
                <c:pt idx="13">
                  <c:v>86.70060086208386</c:v>
                </c:pt>
              </c:numCache>
            </c:numRef>
          </c:xVal>
          <c:yVal>
            <c:numRef>
              <c:f>Knotenlinie!$U$7:$U$20</c:f>
              <c:numCache>
                <c:formatCode>0.000</c:formatCode>
                <c:ptCount val="14"/>
                <c:pt idx="0">
                  <c:v>87.26878781239509</c:v>
                </c:pt>
                <c:pt idx="1">
                  <c:v>87.181125513068679</c:v>
                </c:pt>
                <c:pt idx="2">
                  <c:v>87.206273554102353</c:v>
                </c:pt>
                <c:pt idx="3">
                  <c:v>87.199642492345689</c:v>
                </c:pt>
                <c:pt idx="4">
                  <c:v>87.079901836858454</c:v>
                </c:pt>
                <c:pt idx="5">
                  <c:v>86.898262757387656</c:v>
                </c:pt>
                <c:pt idx="6">
                  <c:v>86.692301954171327</c:v>
                </c:pt>
                <c:pt idx="7">
                  <c:v>86.541020212960035</c:v>
                </c:pt>
                <c:pt idx="8">
                  <c:v>86.50954954322566</c:v>
                </c:pt>
                <c:pt idx="9">
                  <c:v>86.550201790598635</c:v>
                </c:pt>
                <c:pt idx="10">
                  <c:v>86.555335114137293</c:v>
                </c:pt>
                <c:pt idx="11">
                  <c:v>86.406645325010516</c:v>
                </c:pt>
                <c:pt idx="12">
                  <c:v>86.169268988168028</c:v>
                </c:pt>
                <c:pt idx="13">
                  <c:v>85.987271460873757</c:v>
                </c:pt>
              </c:numCache>
            </c:numRef>
          </c:yVal>
          <c:smooth val="1"/>
        </c:ser>
        <c:ser>
          <c:idx val="8"/>
          <c:order val="8"/>
          <c:tx>
            <c:v>Wahrer Pol 2009</c:v>
          </c:tx>
          <c:spPr>
            <a:ln w="28575">
              <a:solidFill>
                <a:srgbClr val="C00000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Knotenlinie!$T$27:$T$39</c:f>
              <c:numCache>
                <c:formatCode>0.000</c:formatCode>
                <c:ptCount val="13"/>
                <c:pt idx="0">
                  <c:v>86.658473725226699</c:v>
                </c:pt>
                <c:pt idx="1">
                  <c:v>86.684315045293133</c:v>
                </c:pt>
                <c:pt idx="2">
                  <c:v>86.856292605260734</c:v>
                </c:pt>
                <c:pt idx="3">
                  <c:v>87.101474080014313</c:v>
                </c:pt>
                <c:pt idx="4">
                  <c:v>87.297925962320463</c:v>
                </c:pt>
                <c:pt idx="5">
                  <c:v>87.370039475580441</c:v>
                </c:pt>
                <c:pt idx="6">
                  <c:v>87.346320166049068</c:v>
                </c:pt>
                <c:pt idx="7">
                  <c:v>87.357626950776719</c:v>
                </c:pt>
                <c:pt idx="8">
                  <c:v>87.43825906769267</c:v>
                </c:pt>
                <c:pt idx="9">
                  <c:v>87.640745324932965</c:v>
                </c:pt>
                <c:pt idx="10">
                  <c:v>87.893773819837747</c:v>
                </c:pt>
                <c:pt idx="11">
                  <c:v>88.070948892790653</c:v>
                </c:pt>
                <c:pt idx="12">
                  <c:v>88.114818359114068</c:v>
                </c:pt>
              </c:numCache>
            </c:numRef>
          </c:xVal>
          <c:yVal>
            <c:numRef>
              <c:f>Knotenlinie!$U$27:$U$39</c:f>
              <c:numCache>
                <c:formatCode>0.000</c:formatCode>
                <c:ptCount val="13"/>
                <c:pt idx="0">
                  <c:v>85.911895041097935</c:v>
                </c:pt>
                <c:pt idx="1">
                  <c:v>85.94243505521716</c:v>
                </c:pt>
                <c:pt idx="2">
                  <c:v>85.984143451732663</c:v>
                </c:pt>
                <c:pt idx="3">
                  <c:v>85.925868498542158</c:v>
                </c:pt>
                <c:pt idx="4">
                  <c:v>85.757395152162033</c:v>
                </c:pt>
                <c:pt idx="5">
                  <c:v>85.572155418265581</c:v>
                </c:pt>
                <c:pt idx="6">
                  <c:v>85.43531125498329</c:v>
                </c:pt>
                <c:pt idx="7">
                  <c:v>85.463441318715425</c:v>
                </c:pt>
                <c:pt idx="8">
                  <c:v>85.532340277534416</c:v>
                </c:pt>
                <c:pt idx="9">
                  <c:v>85.546291727315946</c:v>
                </c:pt>
                <c:pt idx="10">
                  <c:v>85.476294519091766</c:v>
                </c:pt>
                <c:pt idx="11">
                  <c:v>85.289706821675068</c:v>
                </c:pt>
                <c:pt idx="12">
                  <c:v>85.121579130408421</c:v>
                </c:pt>
              </c:numCache>
            </c:numRef>
          </c:yVal>
          <c:smooth val="1"/>
        </c:ser>
        <c:ser>
          <c:idx val="10"/>
          <c:order val="9"/>
          <c:tx>
            <c:v>Spur des mittleren Poles der Mondbahn</c:v>
          </c:tx>
          <c:spPr>
            <a:ln w="15875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Knotenlinie!$AL$10:$AL$20</c:f>
              <c:numCache>
                <c:formatCode>0.0</c:formatCode>
                <c:ptCount val="11"/>
                <c:pt idx="0">
                  <c:v>84.87</c:v>
                </c:pt>
                <c:pt idx="1">
                  <c:v>84.927604370188106</c:v>
                </c:pt>
                <c:pt idx="2">
                  <c:v>85.099123810785642</c:v>
                </c:pt>
                <c:pt idx="3">
                  <c:v>85.380706364930774</c:v>
                </c:pt>
                <c:pt idx="4">
                  <c:v>85.766028295513351</c:v>
                </c:pt>
                <c:pt idx="5">
                  <c:v>86.246436102677293</c:v>
                </c:pt>
                <c:pt idx="6">
                  <c:v>86.811140862771495</c:v>
                </c:pt>
                <c:pt idx="7">
                  <c:v>87.447460524315446</c:v>
                </c:pt>
                <c:pt idx="8">
                  <c:v>88.141104719534667</c:v>
                </c:pt>
                <c:pt idx="9">
                  <c:v>88.876495695212697</c:v>
                </c:pt>
                <c:pt idx="10">
                  <c:v>89.637118155444682</c:v>
                </c:pt>
              </c:numCache>
            </c:numRef>
          </c:xVal>
          <c:yVal>
            <c:numRef>
              <c:f>Knotenlinie!$AM$10:$AM$20</c:f>
              <c:numCache>
                <c:formatCode>0.0</c:formatCode>
                <c:ptCount val="11"/>
                <c:pt idx="0">
                  <c:v>90</c:v>
                </c:pt>
                <c:pt idx="1">
                  <c:v>89.233382380410433</c:v>
                </c:pt>
                <c:pt idx="2">
                  <c:v>88.483981339827324</c:v>
                </c:pt>
                <c:pt idx="3">
                  <c:v>87.768626810009394</c:v>
                </c:pt>
                <c:pt idx="4">
                  <c:v>87.103384111483464</c:v>
                </c:pt>
                <c:pt idx="5">
                  <c:v>86.50319316108029</c:v>
                </c:pt>
                <c:pt idx="6">
                  <c:v>85.981532953611008</c:v>
                </c:pt>
                <c:pt idx="7">
                  <c:v>85.550118852702695</c:v>
                </c:pt>
                <c:pt idx="8">
                  <c:v>85.218639488988131</c:v>
                </c:pt>
                <c:pt idx="9">
                  <c:v>84.994539174349242</c:v>
                </c:pt>
                <c:pt idx="10">
                  <c:v>84.882850718721201</c:v>
                </c:pt>
              </c:numCache>
            </c:numRef>
          </c:yVal>
          <c:smooth val="1"/>
        </c:ser>
        <c:ser>
          <c:idx val="9"/>
          <c:order val="10"/>
          <c:tx>
            <c:v>Bogen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Knotenlinie!$AF$14:$AF$16</c:f>
              <c:numCache>
                <c:formatCode>0.0</c:formatCode>
                <c:ptCount val="3"/>
                <c:pt idx="0">
                  <c:v>86.698657540361282</c:v>
                </c:pt>
                <c:pt idx="1">
                  <c:v>87.073244524504716</c:v>
                </c:pt>
                <c:pt idx="2">
                  <c:v>87.513560126917341</c:v>
                </c:pt>
              </c:numCache>
            </c:numRef>
          </c:xVal>
          <c:yVal>
            <c:numRef>
              <c:f>Knotenlinie!$AG$14:$AG$16</c:f>
              <c:numCache>
                <c:formatCode>0.0</c:formatCode>
                <c:ptCount val="3"/>
                <c:pt idx="0">
                  <c:v>87.741430106419855</c:v>
                </c:pt>
                <c:pt idx="1">
                  <c:v>87.273444959906669</c:v>
                </c:pt>
                <c:pt idx="2">
                  <c:v>86.866692361490067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28736"/>
        <c:axId val="144230656"/>
      </c:scatterChart>
      <c:valAx>
        <c:axId val="144228736"/>
        <c:scaling>
          <c:orientation val="maxMin"/>
          <c:max val="90.6"/>
          <c:min val="85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l-GR" sz="1100">
                    <a:latin typeface="Calibri"/>
                  </a:rPr>
                  <a:t>β</a:t>
                </a:r>
                <a:r>
                  <a:rPr lang="de-DE" sz="1100"/>
                  <a:t> (°)</a:t>
                </a:r>
              </a:p>
            </c:rich>
          </c:tx>
          <c:layout>
            <c:manualLayout>
              <c:xMode val="edge"/>
              <c:yMode val="edge"/>
              <c:x val="0.12547406150502372"/>
              <c:y val="0.7464673726289202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9050"/>
        </c:spPr>
        <c:crossAx val="144230656"/>
        <c:crossesAt val="90"/>
        <c:crossBetween val="midCat"/>
        <c:majorUnit val="1"/>
      </c:valAx>
      <c:valAx>
        <c:axId val="144230656"/>
        <c:scaling>
          <c:orientation val="minMax"/>
          <c:max val="90.6"/>
          <c:min val="8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1100"/>
                </a:pPr>
                <a:r>
                  <a:rPr lang="el-GR" sz="1100">
                    <a:latin typeface="Calibri"/>
                  </a:rPr>
                  <a:t>β</a:t>
                </a:r>
                <a:r>
                  <a:rPr lang="de-DE" sz="1100">
                    <a:latin typeface="Calibri"/>
                  </a:rPr>
                  <a:t> (°)</a:t>
                </a:r>
                <a:endParaRPr lang="de-DE" sz="1100"/>
              </a:p>
            </c:rich>
          </c:tx>
          <c:layout>
            <c:manualLayout>
              <c:xMode val="edge"/>
              <c:yMode val="edge"/>
              <c:x val="0.86990346545664843"/>
              <c:y val="0.2000200860930194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9050"/>
        </c:spPr>
        <c:crossAx val="144228736"/>
        <c:crossesAt val="90"/>
        <c:crossBetween val="midCat"/>
        <c:majorUnit val="1"/>
      </c:val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txPr>
          <a:bodyPr/>
          <a:lstStyle/>
          <a:p>
            <a:pPr>
              <a:defRPr sz="1100"/>
            </a:pPr>
            <a:endParaRPr lang="de-DE"/>
          </a:p>
        </c:txPr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txPr>
          <a:bodyPr/>
          <a:lstStyle/>
          <a:p>
            <a:pPr>
              <a:defRPr sz="1100"/>
            </a:pPr>
            <a:endParaRPr lang="de-DE"/>
          </a:p>
        </c:txPr>
      </c:legendEntry>
      <c:legendEntry>
        <c:idx val="8"/>
        <c:delete val="1"/>
      </c:legendEntry>
      <c:legendEntry>
        <c:idx val="9"/>
        <c:txPr>
          <a:bodyPr/>
          <a:lstStyle/>
          <a:p>
            <a:pPr>
              <a:defRPr sz="1100"/>
            </a:pPr>
            <a:endParaRPr lang="de-DE"/>
          </a:p>
        </c:txPr>
      </c:legendEntry>
      <c:legendEntry>
        <c:idx val="10"/>
        <c:delete val="1"/>
      </c:legendEntry>
      <c:layout>
        <c:manualLayout>
          <c:xMode val="edge"/>
          <c:yMode val="edge"/>
          <c:x val="0.13863234357680243"/>
          <c:y val="0.85308291995553898"/>
          <c:w val="0.73663050399754726"/>
          <c:h val="0.13669575057108077"/>
        </c:manualLayout>
      </c:layout>
      <c:overlay val="0"/>
      <c:spPr>
        <a:ln w="3175">
          <a:solidFill>
            <a:schemeClr val="tx1">
              <a:lumMod val="85000"/>
              <a:lumOff val="15000"/>
            </a:schemeClr>
          </a:solidFill>
          <a:prstDash val="solid"/>
        </a:ln>
      </c:spPr>
      <c:txPr>
        <a:bodyPr/>
        <a:lstStyle/>
        <a:p>
          <a:pPr>
            <a:defRPr sz="10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76200</xdr:colOff>
      <xdr:row>1</xdr:row>
      <xdr:rowOff>123825</xdr:rowOff>
    </xdr:from>
    <xdr:to>
      <xdr:col>35</xdr:col>
      <xdr:colOff>552449</xdr:colOff>
      <xdr:row>35</xdr:row>
      <xdr:rowOff>104775</xdr:rowOff>
    </xdr:to>
    <xdr:graphicFrame macro="">
      <xdr:nvGraphicFramePr>
        <xdr:cNvPr id="178" name="Diagramm 17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304799</xdr:colOff>
      <xdr:row>42</xdr:row>
      <xdr:rowOff>123825</xdr:rowOff>
    </xdr:from>
    <xdr:to>
      <xdr:col>11</xdr:col>
      <xdr:colOff>161924</xdr:colOff>
      <xdr:row>78</xdr:row>
      <xdr:rowOff>66675</xdr:rowOff>
    </xdr:to>
    <xdr:grpSp>
      <xdr:nvGrpSpPr>
        <xdr:cNvPr id="133549" name="Group 334"/>
        <xdr:cNvGrpSpPr>
          <a:grpSpLocks/>
        </xdr:cNvGrpSpPr>
      </xdr:nvGrpSpPr>
      <xdr:grpSpPr bwMode="auto">
        <a:xfrm>
          <a:off x="304799" y="7324725"/>
          <a:ext cx="4000500" cy="5772150"/>
          <a:chOff x="520" y="1010"/>
          <a:chExt cx="355" cy="606"/>
        </a:xfrm>
      </xdr:grpSpPr>
      <xdr:graphicFrame macro="">
        <xdr:nvGraphicFramePr>
          <xdr:cNvPr id="133551" name="Chart 39"/>
          <xdr:cNvGraphicFramePr>
            <a:graphicFrameLocks/>
          </xdr:cNvGraphicFramePr>
        </xdr:nvGraphicFramePr>
        <xdr:xfrm>
          <a:off x="520" y="1010"/>
          <a:ext cx="355" cy="60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33557" name="Freeform 250"/>
          <xdr:cNvSpPr>
            <a:spLocks/>
          </xdr:cNvSpPr>
        </xdr:nvSpPr>
        <xdr:spPr bwMode="auto">
          <a:xfrm>
            <a:off x="586" y="1370"/>
            <a:ext cx="271" cy="138"/>
          </a:xfrm>
          <a:custGeom>
            <a:avLst/>
            <a:gdLst>
              <a:gd name="T0" fmla="*/ 0 w 278"/>
              <a:gd name="T1" fmla="*/ 57 h 138"/>
              <a:gd name="T2" fmla="*/ 10 w 278"/>
              <a:gd name="T3" fmla="*/ 60 h 138"/>
              <a:gd name="T4" fmla="*/ 28 w 278"/>
              <a:gd name="T5" fmla="*/ 109 h 138"/>
              <a:gd name="T6" fmla="*/ 37 w 278"/>
              <a:gd name="T7" fmla="*/ 131 h 138"/>
              <a:gd name="T8" fmla="*/ 49 w 278"/>
              <a:gd name="T9" fmla="*/ 134 h 138"/>
              <a:gd name="T10" fmla="*/ 76 w 278"/>
              <a:gd name="T11" fmla="*/ 108 h 138"/>
              <a:gd name="T12" fmla="*/ 111 w 278"/>
              <a:gd name="T13" fmla="*/ 61 h 138"/>
              <a:gd name="T14" fmla="*/ 135 w 278"/>
              <a:gd name="T15" fmla="*/ 33 h 138"/>
              <a:gd name="T16" fmla="*/ 155 w 278"/>
              <a:gd name="T17" fmla="*/ 20 h 138"/>
              <a:gd name="T18" fmla="*/ 169 w 278"/>
              <a:gd name="T19" fmla="*/ 30 h 138"/>
              <a:gd name="T20" fmla="*/ 182 w 278"/>
              <a:gd name="T21" fmla="*/ 73 h 138"/>
              <a:gd name="T22" fmla="*/ 191 w 278"/>
              <a:gd name="T23" fmla="*/ 91 h 138"/>
              <a:gd name="T24" fmla="*/ 210 w 278"/>
              <a:gd name="T25" fmla="*/ 88 h 138"/>
              <a:gd name="T26" fmla="*/ 234 w 278"/>
              <a:gd name="T27" fmla="*/ 56 h 138"/>
              <a:gd name="T28" fmla="*/ 264 w 278"/>
              <a:gd name="T29" fmla="*/ 19 h 138"/>
              <a:gd name="T30" fmla="*/ 272 w 278"/>
              <a:gd name="T31" fmla="*/ 7 h 138"/>
              <a:gd name="T32" fmla="*/ 278 w 278"/>
              <a:gd name="T33" fmla="*/ 0 h 138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278"/>
              <a:gd name="T52" fmla="*/ 0 h 138"/>
              <a:gd name="T53" fmla="*/ 278 w 278"/>
              <a:gd name="T54" fmla="*/ 138 h 138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278" h="138">
                <a:moveTo>
                  <a:pt x="0" y="57"/>
                </a:moveTo>
                <a:cubicBezTo>
                  <a:pt x="2" y="54"/>
                  <a:pt x="5" y="51"/>
                  <a:pt x="10" y="60"/>
                </a:cubicBezTo>
                <a:cubicBezTo>
                  <a:pt x="15" y="69"/>
                  <a:pt x="24" y="97"/>
                  <a:pt x="28" y="109"/>
                </a:cubicBezTo>
                <a:cubicBezTo>
                  <a:pt x="32" y="121"/>
                  <a:pt x="34" y="127"/>
                  <a:pt x="37" y="131"/>
                </a:cubicBezTo>
                <a:cubicBezTo>
                  <a:pt x="40" y="135"/>
                  <a:pt x="42" y="138"/>
                  <a:pt x="49" y="134"/>
                </a:cubicBezTo>
                <a:cubicBezTo>
                  <a:pt x="56" y="130"/>
                  <a:pt x="66" y="120"/>
                  <a:pt x="76" y="108"/>
                </a:cubicBezTo>
                <a:cubicBezTo>
                  <a:pt x="86" y="96"/>
                  <a:pt x="101" y="74"/>
                  <a:pt x="111" y="61"/>
                </a:cubicBezTo>
                <a:cubicBezTo>
                  <a:pt x="121" y="48"/>
                  <a:pt x="128" y="40"/>
                  <a:pt x="135" y="33"/>
                </a:cubicBezTo>
                <a:cubicBezTo>
                  <a:pt x="142" y="26"/>
                  <a:pt x="149" y="20"/>
                  <a:pt x="155" y="20"/>
                </a:cubicBezTo>
                <a:cubicBezTo>
                  <a:pt x="161" y="20"/>
                  <a:pt x="165" y="21"/>
                  <a:pt x="169" y="30"/>
                </a:cubicBezTo>
                <a:cubicBezTo>
                  <a:pt x="173" y="39"/>
                  <a:pt x="178" y="63"/>
                  <a:pt x="182" y="73"/>
                </a:cubicBezTo>
                <a:cubicBezTo>
                  <a:pt x="186" y="83"/>
                  <a:pt x="186" y="89"/>
                  <a:pt x="191" y="91"/>
                </a:cubicBezTo>
                <a:cubicBezTo>
                  <a:pt x="196" y="93"/>
                  <a:pt x="203" y="94"/>
                  <a:pt x="210" y="88"/>
                </a:cubicBezTo>
                <a:cubicBezTo>
                  <a:pt x="217" y="82"/>
                  <a:pt x="225" y="67"/>
                  <a:pt x="234" y="56"/>
                </a:cubicBezTo>
                <a:cubicBezTo>
                  <a:pt x="243" y="45"/>
                  <a:pt x="258" y="27"/>
                  <a:pt x="264" y="19"/>
                </a:cubicBezTo>
                <a:cubicBezTo>
                  <a:pt x="270" y="11"/>
                  <a:pt x="270" y="10"/>
                  <a:pt x="272" y="7"/>
                </a:cubicBezTo>
                <a:cubicBezTo>
                  <a:pt x="274" y="4"/>
                  <a:pt x="276" y="2"/>
                  <a:pt x="278" y="0"/>
                </a:cubicBezTo>
              </a:path>
            </a:pathLst>
          </a:custGeom>
          <a:noFill/>
          <a:ln w="9525">
            <a:solidFill>
              <a:sysClr val="windowText" lastClr="000000">
                <a:shade val="95000"/>
                <a:satMod val="105000"/>
              </a:sysClr>
            </a:solidFill>
            <a:prstDash val="dash"/>
            <a:round/>
            <a:headEnd/>
            <a:tailEnd/>
          </a:ln>
        </xdr:spPr>
      </xdr:sp>
    </xdr:grpSp>
    <xdr:clientData/>
  </xdr:twoCellAnchor>
  <xdr:twoCellAnchor>
    <xdr:from>
      <xdr:col>11</xdr:col>
      <xdr:colOff>276224</xdr:colOff>
      <xdr:row>42</xdr:row>
      <xdr:rowOff>38100</xdr:rowOff>
    </xdr:from>
    <xdr:to>
      <xdr:col>28</xdr:col>
      <xdr:colOff>0</xdr:colOff>
      <xdr:row>64</xdr:row>
      <xdr:rowOff>66675</xdr:rowOff>
    </xdr:to>
    <xdr:grpSp>
      <xdr:nvGrpSpPr>
        <xdr:cNvPr id="224" name="Gruppieren 223"/>
        <xdr:cNvGrpSpPr/>
      </xdr:nvGrpSpPr>
      <xdr:grpSpPr>
        <a:xfrm>
          <a:off x="4419599" y="7239000"/>
          <a:ext cx="6296026" cy="3590925"/>
          <a:chOff x="9105899" y="5438775"/>
          <a:chExt cx="6038851" cy="3590925"/>
        </a:xfrm>
      </xdr:grpSpPr>
      <xdr:grpSp>
        <xdr:nvGrpSpPr>
          <xdr:cNvPr id="197" name="Gruppieren 196"/>
          <xdr:cNvGrpSpPr/>
        </xdr:nvGrpSpPr>
        <xdr:grpSpPr>
          <a:xfrm>
            <a:off x="9105899" y="5438775"/>
            <a:ext cx="6038851" cy="3590925"/>
            <a:chOff x="95250" y="6629400"/>
            <a:chExt cx="4733925" cy="2971800"/>
          </a:xfrm>
        </xdr:grpSpPr>
        <xdr:graphicFrame macro="">
          <xdr:nvGraphicFramePr>
            <xdr:cNvPr id="210" name="Chart 34"/>
            <xdr:cNvGraphicFramePr>
              <a:graphicFrameLocks/>
            </xdr:cNvGraphicFramePr>
          </xdr:nvGraphicFramePr>
          <xdr:xfrm>
            <a:off x="95250" y="6629400"/>
            <a:ext cx="4733925" cy="29718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cxnSp macro="">
          <xdr:nvCxnSpPr>
            <xdr:cNvPr id="201" name="Gerade Verbindung mit Pfeil 200"/>
            <xdr:cNvCxnSpPr/>
          </xdr:nvCxnSpPr>
          <xdr:spPr bwMode="auto">
            <a:xfrm flipV="1">
              <a:off x="1125353" y="8727473"/>
              <a:ext cx="2121512" cy="6623"/>
            </a:xfrm>
            <a:prstGeom prst="straightConnector1">
              <a:avLst/>
            </a:prstGeom>
            <a:solidFill>
              <a:srgbClr val="FFFFFF"/>
            </a:solidFill>
            <a:ln w="28575" cap="flat" cmpd="sng" algn="ctr">
              <a:solidFill>
                <a:srgbClr val="C00000"/>
              </a:solidFill>
              <a:prstDash val="dash"/>
              <a:round/>
              <a:headEnd type="arrow" w="med" len="med"/>
              <a:tailEnd type="arrow"/>
            </a:ln>
            <a:effectLst/>
          </xdr:spPr>
        </xdr:cxnSp>
        <xdr:sp macro="" textlink="">
          <xdr:nvSpPr>
            <xdr:cNvPr id="202" name="Textfeld 201"/>
            <xdr:cNvSpPr txBox="1"/>
          </xdr:nvSpPr>
          <xdr:spPr>
            <a:xfrm>
              <a:off x="1958580" y="8655270"/>
              <a:ext cx="488164" cy="157655"/>
            </a:xfrm>
            <a:prstGeom prst="rect">
              <a:avLst/>
            </a:prstGeom>
            <a:solidFill>
              <a:schemeClr val="lt1"/>
            </a:solidFill>
            <a:ln w="19050" cmpd="sng">
              <a:solidFill>
                <a:srgbClr val="C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36000" tIns="0" rIns="0" bIns="0" rtlCol="0" anchor="t"/>
            <a:lstStyle/>
            <a:p>
              <a:r>
                <a:rPr lang="de-DE" sz="1100"/>
                <a:t>207 Tage</a:t>
              </a:r>
            </a:p>
          </xdr:txBody>
        </xdr:sp>
      </xdr:grpSp>
      <xdr:cxnSp macro="">
        <xdr:nvCxnSpPr>
          <xdr:cNvPr id="221" name="Gerade Verbindung mit Pfeil 220"/>
          <xdr:cNvCxnSpPr/>
        </xdr:nvCxnSpPr>
        <xdr:spPr bwMode="auto">
          <a:xfrm>
            <a:off x="11684882" y="6543675"/>
            <a:ext cx="2696916" cy="1588"/>
          </a:xfrm>
          <a:prstGeom prst="straightConnector1">
            <a:avLst/>
          </a:prstGeom>
          <a:solidFill>
            <a:srgbClr val="FFFFFF"/>
          </a:solidFill>
          <a:ln w="28575" cap="flat" cmpd="sng" algn="ctr">
            <a:solidFill>
              <a:srgbClr val="C00000"/>
            </a:solidFill>
            <a:prstDash val="dash"/>
            <a:round/>
            <a:headEnd type="arrow" w="med" len="med"/>
            <a:tailEnd type="arrow" w="med" len="med"/>
          </a:ln>
          <a:effectLst/>
        </xdr:spPr>
      </xdr:cxnSp>
      <xdr:sp macro="" textlink="">
        <xdr:nvSpPr>
          <xdr:cNvPr id="222" name="Textfeld 221"/>
          <xdr:cNvSpPr txBox="1"/>
        </xdr:nvSpPr>
        <xdr:spPr>
          <a:xfrm>
            <a:off x="12804665" y="6448425"/>
            <a:ext cx="690510" cy="190500"/>
          </a:xfrm>
          <a:prstGeom prst="rect">
            <a:avLst/>
          </a:prstGeom>
          <a:solidFill>
            <a:schemeClr val="lt1"/>
          </a:solidFill>
          <a:ln w="19050" cmpd="sng">
            <a:solidFill>
              <a:srgbClr val="C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72000" tIns="0" rIns="72000" bIns="36000" rtlCol="0" anchor="t"/>
          <a:lstStyle/>
          <a:p>
            <a:r>
              <a:rPr lang="de-DE" sz="1100"/>
              <a:t>206 Tage</a:t>
            </a:r>
          </a:p>
        </xdr:txBody>
      </xdr:sp>
    </xdr:grpSp>
    <xdr:clientData/>
  </xdr:twoCellAnchor>
  <xdr:twoCellAnchor>
    <xdr:from>
      <xdr:col>30</xdr:col>
      <xdr:colOff>85725</xdr:colOff>
      <xdr:row>39</xdr:row>
      <xdr:rowOff>38100</xdr:rowOff>
    </xdr:from>
    <xdr:to>
      <xdr:col>34</xdr:col>
      <xdr:colOff>657225</xdr:colOff>
      <xdr:row>60</xdr:row>
      <xdr:rowOff>152401</xdr:rowOff>
    </xdr:to>
    <xdr:graphicFrame macro="">
      <xdr:nvGraphicFramePr>
        <xdr:cNvPr id="174" name="Diagramm 1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276225</xdr:colOff>
      <xdr:row>104</xdr:row>
      <xdr:rowOff>57150</xdr:rowOff>
    </xdr:from>
    <xdr:to>
      <xdr:col>34</xdr:col>
      <xdr:colOff>552450</xdr:colOff>
      <xdr:row>134</xdr:row>
      <xdr:rowOff>152401</xdr:rowOff>
    </xdr:to>
    <xdr:graphicFrame macro="">
      <xdr:nvGraphicFramePr>
        <xdr:cNvPr id="180" name="Diagramm 1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314325</xdr:colOff>
      <xdr:row>66</xdr:row>
      <xdr:rowOff>152400</xdr:rowOff>
    </xdr:from>
    <xdr:to>
      <xdr:col>27</xdr:col>
      <xdr:colOff>38100</xdr:colOff>
      <xdr:row>99</xdr:row>
      <xdr:rowOff>38100</xdr:rowOff>
    </xdr:to>
    <xdr:graphicFrame macro="">
      <xdr:nvGraphicFramePr>
        <xdr:cNvPr id="55" name="Chart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237745</xdr:colOff>
      <xdr:row>66</xdr:row>
      <xdr:rowOff>90593</xdr:rowOff>
    </xdr:from>
    <xdr:to>
      <xdr:col>36</xdr:col>
      <xdr:colOff>313945</xdr:colOff>
      <xdr:row>100</xdr:row>
      <xdr:rowOff>52493</xdr:rowOff>
    </xdr:to>
    <xdr:grpSp>
      <xdr:nvGrpSpPr>
        <xdr:cNvPr id="3" name="Gruppieren 2"/>
        <xdr:cNvGrpSpPr/>
      </xdr:nvGrpSpPr>
      <xdr:grpSpPr>
        <a:xfrm>
          <a:off x="10372345" y="11177693"/>
          <a:ext cx="5505450" cy="5524500"/>
          <a:chOff x="4485895" y="11463443"/>
          <a:chExt cx="5505450" cy="5524500"/>
        </a:xfrm>
      </xdr:grpSpPr>
      <xdr:grpSp>
        <xdr:nvGrpSpPr>
          <xdr:cNvPr id="126" name="Group 336"/>
          <xdr:cNvGrpSpPr>
            <a:grpSpLocks/>
          </xdr:cNvGrpSpPr>
        </xdr:nvGrpSpPr>
        <xdr:grpSpPr bwMode="auto">
          <a:xfrm>
            <a:off x="4485895" y="11463443"/>
            <a:ext cx="5505450" cy="5524500"/>
            <a:chOff x="134" y="1595"/>
            <a:chExt cx="602" cy="642"/>
          </a:xfrm>
        </xdr:grpSpPr>
        <xdr:graphicFrame macro="">
          <xdr:nvGraphicFramePr>
            <xdr:cNvPr id="135" name="Chart 58"/>
            <xdr:cNvGraphicFramePr>
              <a:graphicFrameLocks/>
            </xdr:cNvGraphicFramePr>
          </xdr:nvGraphicFramePr>
          <xdr:xfrm>
            <a:off x="134" y="1595"/>
            <a:ext cx="602" cy="64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7"/>
            </a:graphicData>
          </a:graphic>
        </xdr:graphicFrame>
        <xdr:sp macro="" textlink="">
          <xdr:nvSpPr>
            <xdr:cNvPr id="160" name="Line 89"/>
            <xdr:cNvSpPr>
              <a:spLocks noChangeShapeType="1"/>
            </xdr:cNvSpPr>
          </xdr:nvSpPr>
          <xdr:spPr bwMode="auto">
            <a:xfrm>
              <a:off x="541" y="1743"/>
              <a:ext cx="16" cy="7"/>
            </a:xfrm>
            <a:prstGeom prst="line">
              <a:avLst/>
            </a:prstGeom>
            <a:noFill/>
            <a:ln w="19050">
              <a:solidFill>
                <a:srgbClr val="C00000"/>
              </a:solidFill>
              <a:round/>
              <a:headEnd/>
              <a:tailEnd type="arrow" w="sm" len="sm"/>
            </a:ln>
          </xdr:spPr>
        </xdr:sp>
        <xdr:sp macro="" textlink="">
          <xdr:nvSpPr>
            <xdr:cNvPr id="161" name="Line 90"/>
            <xdr:cNvSpPr>
              <a:spLocks noChangeShapeType="1"/>
            </xdr:cNvSpPr>
          </xdr:nvSpPr>
          <xdr:spPr bwMode="auto">
            <a:xfrm>
              <a:off x="597" y="1814"/>
              <a:ext cx="18" cy="9"/>
            </a:xfrm>
            <a:prstGeom prst="line">
              <a:avLst/>
            </a:prstGeom>
            <a:noFill/>
            <a:ln w="19050">
              <a:solidFill>
                <a:srgbClr val="C00000"/>
              </a:solidFill>
              <a:round/>
              <a:headEnd/>
              <a:tailEnd type="arrow" w="sm" len="sm"/>
            </a:ln>
          </xdr:spPr>
        </xdr:sp>
        <xdr:sp macro="" textlink="">
          <xdr:nvSpPr>
            <xdr:cNvPr id="162" name="Line 91"/>
            <xdr:cNvSpPr>
              <a:spLocks noChangeShapeType="1"/>
            </xdr:cNvSpPr>
          </xdr:nvSpPr>
          <xdr:spPr bwMode="auto">
            <a:xfrm>
              <a:off x="617" y="1898"/>
              <a:ext cx="14" cy="5"/>
            </a:xfrm>
            <a:prstGeom prst="line">
              <a:avLst/>
            </a:prstGeom>
            <a:noFill/>
            <a:ln w="19050">
              <a:solidFill>
                <a:srgbClr val="C00000"/>
              </a:solidFill>
              <a:round/>
              <a:headEnd/>
              <a:tailEnd type="arrow" w="sm" len="sm"/>
            </a:ln>
          </xdr:spPr>
        </xdr:sp>
        <xdr:sp macro="" textlink="">
          <xdr:nvSpPr>
            <xdr:cNvPr id="163" name="Line 92"/>
            <xdr:cNvSpPr>
              <a:spLocks noChangeShapeType="1"/>
            </xdr:cNvSpPr>
          </xdr:nvSpPr>
          <xdr:spPr bwMode="auto">
            <a:xfrm>
              <a:off x="339" y="2022"/>
              <a:ext cx="9" cy="5"/>
            </a:xfrm>
            <a:prstGeom prst="line">
              <a:avLst/>
            </a:prstGeom>
            <a:noFill/>
            <a:ln w="19050">
              <a:solidFill>
                <a:srgbClr val="C00000"/>
              </a:solidFill>
              <a:round/>
              <a:headEnd/>
              <a:tailEnd type="arrow" w="sm" len="sm"/>
            </a:ln>
          </xdr:spPr>
        </xdr:sp>
        <xdr:sp macro="" textlink="">
          <xdr:nvSpPr>
            <xdr:cNvPr id="164" name="Line 93"/>
            <xdr:cNvSpPr>
              <a:spLocks noChangeShapeType="1"/>
            </xdr:cNvSpPr>
          </xdr:nvSpPr>
          <xdr:spPr bwMode="auto">
            <a:xfrm>
              <a:off x="302" y="1954"/>
              <a:ext cx="13" cy="11"/>
            </a:xfrm>
            <a:prstGeom prst="line">
              <a:avLst/>
            </a:prstGeom>
            <a:noFill/>
            <a:ln w="19050">
              <a:solidFill>
                <a:srgbClr val="C00000"/>
              </a:solidFill>
              <a:round/>
              <a:headEnd/>
              <a:tailEnd type="arrow" w="sm" len="sm"/>
            </a:ln>
          </xdr:spPr>
        </xdr:sp>
        <xdr:sp macro="" textlink="">
          <xdr:nvSpPr>
            <xdr:cNvPr id="165" name="Line 94"/>
            <xdr:cNvSpPr>
              <a:spLocks noChangeShapeType="1"/>
            </xdr:cNvSpPr>
          </xdr:nvSpPr>
          <xdr:spPr bwMode="auto">
            <a:xfrm>
              <a:off x="299" y="1872"/>
              <a:ext cx="15" cy="14"/>
            </a:xfrm>
            <a:prstGeom prst="line">
              <a:avLst/>
            </a:prstGeom>
            <a:noFill/>
            <a:ln w="19050">
              <a:solidFill>
                <a:srgbClr val="C00000"/>
              </a:solidFill>
              <a:round/>
              <a:headEnd/>
              <a:tailEnd type="arrow" w="sm" len="sm"/>
            </a:ln>
          </xdr:spPr>
        </xdr:sp>
        <xdr:sp macro="" textlink="">
          <xdr:nvSpPr>
            <xdr:cNvPr id="166" name="Line 96"/>
            <xdr:cNvSpPr>
              <a:spLocks noChangeShapeType="1"/>
            </xdr:cNvSpPr>
          </xdr:nvSpPr>
          <xdr:spPr bwMode="auto">
            <a:xfrm flipH="1" flipV="1">
              <a:off x="528" y="2034"/>
              <a:ext cx="20" cy="4"/>
            </a:xfrm>
            <a:prstGeom prst="line">
              <a:avLst/>
            </a:prstGeom>
            <a:noFill/>
            <a:ln w="19050">
              <a:solidFill>
                <a:srgbClr val="C00000"/>
              </a:solidFill>
              <a:round/>
              <a:headEnd/>
              <a:tailEnd type="arrow" w="sm" len="sm"/>
            </a:ln>
          </xdr:spPr>
        </xdr:sp>
        <xdr:sp macro="" textlink="">
          <xdr:nvSpPr>
            <xdr:cNvPr id="167" name="Line 97"/>
            <xdr:cNvSpPr>
              <a:spLocks noChangeShapeType="1"/>
            </xdr:cNvSpPr>
          </xdr:nvSpPr>
          <xdr:spPr bwMode="auto">
            <a:xfrm flipH="1" flipV="1">
              <a:off x="467" y="2066"/>
              <a:ext cx="15" cy="4"/>
            </a:xfrm>
            <a:prstGeom prst="line">
              <a:avLst/>
            </a:prstGeom>
            <a:noFill/>
            <a:ln w="19050">
              <a:solidFill>
                <a:srgbClr val="C00000"/>
              </a:solidFill>
              <a:round/>
              <a:headEnd/>
              <a:tailEnd type="arrow" w="sm" len="sm"/>
            </a:ln>
          </xdr:spPr>
        </xdr:sp>
        <xdr:sp macro="" textlink="">
          <xdr:nvSpPr>
            <xdr:cNvPr id="168" name="Line 98"/>
            <xdr:cNvSpPr>
              <a:spLocks noChangeShapeType="1"/>
            </xdr:cNvSpPr>
          </xdr:nvSpPr>
          <xdr:spPr bwMode="auto">
            <a:xfrm flipH="1" flipV="1">
              <a:off x="366" y="1732"/>
              <a:ext cx="18" cy="8"/>
            </a:xfrm>
            <a:prstGeom prst="line">
              <a:avLst/>
            </a:prstGeom>
            <a:noFill/>
            <a:ln w="19050">
              <a:solidFill>
                <a:srgbClr val="C00000"/>
              </a:solidFill>
              <a:round/>
              <a:headEnd/>
              <a:tailEnd type="arrow" w="sm" len="sm"/>
            </a:ln>
          </xdr:spPr>
        </xdr:sp>
        <xdr:sp macro="" textlink="">
          <xdr:nvSpPr>
            <xdr:cNvPr id="169" name="Line 99"/>
            <xdr:cNvSpPr>
              <a:spLocks noChangeShapeType="1"/>
            </xdr:cNvSpPr>
          </xdr:nvSpPr>
          <xdr:spPr bwMode="auto">
            <a:xfrm flipH="1" flipV="1">
              <a:off x="578" y="1970"/>
              <a:ext cx="17" cy="1"/>
            </a:xfrm>
            <a:prstGeom prst="line">
              <a:avLst/>
            </a:prstGeom>
            <a:noFill/>
            <a:ln w="19050">
              <a:solidFill>
                <a:srgbClr val="C00000"/>
              </a:solidFill>
              <a:round/>
              <a:headEnd/>
              <a:tailEnd type="arrow" w="sm" len="sm"/>
            </a:ln>
          </xdr:spPr>
        </xdr:sp>
      </xdr:grpSp>
      <xdr:grpSp>
        <xdr:nvGrpSpPr>
          <xdr:cNvPr id="2" name="Gruppieren 1"/>
          <xdr:cNvGrpSpPr/>
        </xdr:nvGrpSpPr>
        <xdr:grpSpPr>
          <a:xfrm>
            <a:off x="5714620" y="14506575"/>
            <a:ext cx="1772708" cy="1534571"/>
            <a:chOff x="5714620" y="14506575"/>
            <a:chExt cx="1772708" cy="1534571"/>
          </a:xfrm>
        </xdr:grpSpPr>
        <xdr:cxnSp macro="">
          <xdr:nvCxnSpPr>
            <xdr:cNvPr id="28" name="Gerade Verbindung 27"/>
            <xdr:cNvCxnSpPr/>
          </xdr:nvCxnSpPr>
          <xdr:spPr bwMode="auto">
            <a:xfrm flipV="1">
              <a:off x="5714620" y="14506575"/>
              <a:ext cx="1476755" cy="485059"/>
            </a:xfrm>
            <a:prstGeom prst="line">
              <a:avLst/>
            </a:prstGeom>
            <a:solidFill>
              <a:srgbClr val="FFFFFF"/>
            </a:solidFill>
            <a:ln w="12700" cap="flat" cmpd="sng" algn="ctr">
              <a:solidFill>
                <a:srgbClr val="FF0000"/>
              </a:solidFill>
              <a:prstDash val="sysDot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29" name="Gerade Verbindung 28"/>
            <xdr:cNvCxnSpPr/>
          </xdr:nvCxnSpPr>
          <xdr:spPr bwMode="auto">
            <a:xfrm flipH="1" flipV="1">
              <a:off x="7214687" y="14520968"/>
              <a:ext cx="272641" cy="1520178"/>
            </a:xfrm>
            <a:prstGeom prst="line">
              <a:avLst/>
            </a:prstGeom>
            <a:solidFill>
              <a:srgbClr val="FFFFFF"/>
            </a:solidFill>
            <a:ln w="12700" cap="flat" cmpd="sng" algn="ctr">
              <a:solidFill>
                <a:srgbClr val="FF0000"/>
              </a:solidFill>
              <a:prstDash val="sysDot"/>
              <a:round/>
              <a:headEnd type="none" w="med" len="med"/>
              <a:tailEnd type="none" w="med" len="med"/>
            </a:ln>
            <a:effectLst/>
          </xdr:spPr>
        </xdr:cxnSp>
      </xdr:grp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0.08575</cdr:x>
      <cdr:y>0.09817</cdr:y>
    </cdr:from>
    <cdr:to>
      <cdr:x>0.96732</cdr:x>
      <cdr:y>0.79501</cdr:y>
    </cdr:to>
    <cdr:grpSp>
      <cdr:nvGrpSpPr>
        <cdr:cNvPr id="2" name="Gruppieren 1"/>
        <cdr:cNvGrpSpPr/>
      </cdr:nvGrpSpPr>
      <cdr:grpSpPr>
        <a:xfrm xmlns:a="http://schemas.openxmlformats.org/drawingml/2006/main">
          <a:off x="696704" y="475015"/>
          <a:ext cx="7162603" cy="3371800"/>
          <a:chOff x="696704" y="559171"/>
          <a:chExt cx="7162622" cy="3969166"/>
        </a:xfrm>
      </cdr:grpSpPr>
      <cdr:cxnSp macro="">
        <cdr:nvCxnSpPr>
          <cdr:cNvPr id="23" name="Gerade Verbindung mit Pfeil 22"/>
          <cdr:cNvCxnSpPr/>
        </cdr:nvCxnSpPr>
        <cdr:spPr>
          <a:xfrm xmlns:a="http://schemas.openxmlformats.org/drawingml/2006/main" flipV="1">
            <a:off x="7280275" y="1041400"/>
            <a:ext cx="579051" cy="2009759"/>
          </a:xfrm>
          <a:prstGeom xmlns:a="http://schemas.openxmlformats.org/drawingml/2006/main" prst="straightConnector1">
            <a:avLst/>
          </a:prstGeom>
          <a:ln xmlns:a="http://schemas.openxmlformats.org/drawingml/2006/main" w="12700">
            <a:solidFill>
              <a:schemeClr val="accent1">
                <a:lumMod val="75000"/>
              </a:schemeClr>
            </a:solidFill>
            <a:prstDash val="sysDash"/>
            <a:headEnd type="arrow" w="med" len="med"/>
            <a:tailEnd type="arrow" w="med" len="med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grpSp>
        <cdr:nvGrpSpPr>
          <cdr:cNvPr id="27" name="Gruppieren 26"/>
          <cdr:cNvGrpSpPr/>
        </cdr:nvGrpSpPr>
        <cdr:grpSpPr>
          <a:xfrm xmlns:a="http://schemas.openxmlformats.org/drawingml/2006/main">
            <a:off x="696704" y="559171"/>
            <a:ext cx="6867184" cy="3969166"/>
            <a:chOff x="733426" y="559160"/>
            <a:chExt cx="7229475" cy="3969198"/>
          </a:xfrm>
        </cdr:grpSpPr>
        <cdr:grpSp>
          <cdr:nvGrpSpPr>
            <cdr:cNvPr id="3" name="Gruppieren 2"/>
            <cdr:cNvGrpSpPr/>
          </cdr:nvGrpSpPr>
          <cdr:grpSpPr>
            <a:xfrm xmlns:a="http://schemas.openxmlformats.org/drawingml/2006/main">
              <a:off x="733426" y="559160"/>
              <a:ext cx="7229475" cy="3969198"/>
              <a:chOff x="-4451344" y="-1105740"/>
              <a:chExt cx="7229490" cy="3251533"/>
            </a:xfrm>
          </cdr:grpSpPr>
          <cdr:grpSp>
            <cdr:nvGrpSpPr>
              <cdr:cNvPr id="4" name="Gruppieren 3"/>
              <cdr:cNvGrpSpPr/>
            </cdr:nvGrpSpPr>
            <cdr:grpSpPr>
              <a:xfrm xmlns:a="http://schemas.openxmlformats.org/drawingml/2006/main">
                <a:off x="-3950974" y="-1105740"/>
                <a:ext cx="4464568" cy="3251533"/>
                <a:chOff x="-1063155" y="8721"/>
                <a:chExt cx="4465040" cy="3251418"/>
              </a:xfrm>
            </cdr:grpSpPr>
            <cdr:cxnSp macro="">
              <cdr:nvCxnSpPr>
                <cdr:cNvPr id="16" name="Gerade Verbindung mit Pfeil 15"/>
                <cdr:cNvCxnSpPr/>
              </cdr:nvCxnSpPr>
              <cdr:spPr>
                <a:xfrm xmlns:a="http://schemas.openxmlformats.org/drawingml/2006/main">
                  <a:off x="-1063155" y="1639915"/>
                  <a:ext cx="3633873" cy="1838"/>
                </a:xfrm>
                <a:prstGeom xmlns:a="http://schemas.openxmlformats.org/drawingml/2006/main" prst="straightConnector1">
                  <a:avLst/>
                </a:prstGeom>
                <a:ln xmlns:a="http://schemas.openxmlformats.org/drawingml/2006/main" w="19050">
                  <a:solidFill>
                    <a:srgbClr val="C00000"/>
                  </a:solidFill>
                  <a:prstDash val="sysDash"/>
                  <a:headEnd type="arrow" w="med" len="med"/>
                  <a:tailEnd type="arrow" w="med" len="med"/>
                </a:ln>
              </cdr:spPr>
              <cdr:style>
                <a:lnRef xmlns:a="http://schemas.openxmlformats.org/drawingml/2006/main" idx="1">
                  <a:schemeClr val="accent1"/>
                </a:lnRef>
                <a:fillRef xmlns:a="http://schemas.openxmlformats.org/drawingml/2006/main" idx="0">
                  <a:schemeClr val="accent1"/>
                </a:fillRef>
                <a:effectRef xmlns:a="http://schemas.openxmlformats.org/drawingml/2006/main" idx="0">
                  <a:schemeClr val="accent1"/>
                </a:effectRef>
                <a:fontRef xmlns:a="http://schemas.openxmlformats.org/drawingml/2006/main" idx="minor">
                  <a:schemeClr val="tx1"/>
                </a:fontRef>
              </cdr:style>
            </cdr:cxnSp>
            <cdr:cxnSp macro="">
              <cdr:nvCxnSpPr>
                <cdr:cNvPr id="17" name="Gerade Verbindung mit Pfeil 16"/>
                <cdr:cNvCxnSpPr/>
              </cdr:nvCxnSpPr>
              <cdr:spPr>
                <a:xfrm xmlns:a="http://schemas.openxmlformats.org/drawingml/2006/main">
                  <a:off x="2857161" y="337635"/>
                  <a:ext cx="114278" cy="2377839"/>
                </a:xfrm>
                <a:prstGeom xmlns:a="http://schemas.openxmlformats.org/drawingml/2006/main" prst="straightConnector1">
                  <a:avLst/>
                </a:prstGeom>
                <a:ln xmlns:a="http://schemas.openxmlformats.org/drawingml/2006/main" w="19050">
                  <a:solidFill>
                    <a:srgbClr val="00B050"/>
                  </a:solidFill>
                  <a:prstDash val="sysDash"/>
                  <a:headEnd type="arrow" w="med" len="med"/>
                  <a:tailEnd type="arrow" w="med" len="med"/>
                </a:ln>
              </cdr:spPr>
              <cdr:style>
                <a:lnRef xmlns:a="http://schemas.openxmlformats.org/drawingml/2006/main" idx="1">
                  <a:schemeClr val="accent1"/>
                </a:lnRef>
                <a:fillRef xmlns:a="http://schemas.openxmlformats.org/drawingml/2006/main" idx="0">
                  <a:schemeClr val="accent1"/>
                </a:fillRef>
                <a:effectRef xmlns:a="http://schemas.openxmlformats.org/drawingml/2006/main" idx="0">
                  <a:schemeClr val="accent1"/>
                </a:effectRef>
                <a:fontRef xmlns:a="http://schemas.openxmlformats.org/drawingml/2006/main" idx="minor">
                  <a:schemeClr val="tx1"/>
                </a:fontRef>
              </cdr:style>
            </cdr:cxnSp>
            <cdr:sp macro="" textlink="">
              <cdr:nvSpPr>
                <cdr:cNvPr id="18" name="Ellipse 17"/>
                <cdr:cNvSpPr/>
              </cdr:nvSpPr>
              <cdr:spPr>
                <a:xfrm xmlns:a="http://schemas.openxmlformats.org/drawingml/2006/main" rot="20675033">
                  <a:off x="2033622" y="2821069"/>
                  <a:ext cx="1366699" cy="439070"/>
                </a:xfrm>
                <a:prstGeom xmlns:a="http://schemas.openxmlformats.org/drawingml/2006/main" prst="ellipse">
                  <a:avLst/>
                </a:prstGeom>
                <a:noFill xmlns:a="http://schemas.openxmlformats.org/drawingml/2006/main"/>
                <a:ln xmlns:a="http://schemas.openxmlformats.org/drawingml/2006/main" w="12700">
                  <a:solidFill>
                    <a:srgbClr val="00B050"/>
                  </a:solidFill>
                  <a:prstDash val="dash"/>
                </a:ln>
              </cdr:spPr>
              <cdr:style>
                <a:lnRef xmlns:a="http://schemas.openxmlformats.org/drawingml/2006/main" idx="2">
                  <a:schemeClr val="accent1">
                    <a:shade val="50000"/>
                  </a:schemeClr>
                </a:lnRef>
                <a:fillRef xmlns:a="http://schemas.openxmlformats.org/drawingml/2006/main" idx="1">
                  <a:schemeClr val="accent1"/>
                </a:fillRef>
                <a:effectRef xmlns:a="http://schemas.openxmlformats.org/drawingml/2006/main" idx="0">
                  <a:schemeClr val="accent1"/>
                </a:effectRef>
                <a:fontRef xmlns:a="http://schemas.openxmlformats.org/drawingml/2006/main" idx="minor">
                  <a:schemeClr val="lt1"/>
                </a:fontRef>
              </cdr:style>
              <cdr:txBody>
    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 xmlns:a="http://schemas.openxmlformats.org/drawingml/2006/main"/>
                <a:p xmlns:a="http://schemas.openxmlformats.org/drawingml/2006/main">
                  <a:endParaRPr lang="de-DE"/>
                </a:p>
              </cdr:txBody>
            </cdr:sp>
            <cdr:sp macro="" textlink="">
              <cdr:nvSpPr>
                <cdr:cNvPr id="19" name="Ellipse 18"/>
                <cdr:cNvSpPr/>
              </cdr:nvSpPr>
              <cdr:spPr>
                <a:xfrm xmlns:a="http://schemas.openxmlformats.org/drawingml/2006/main" rot="20658253">
                  <a:off x="1803825" y="8721"/>
                  <a:ext cx="1355617" cy="422573"/>
                </a:xfrm>
                <a:prstGeom xmlns:a="http://schemas.openxmlformats.org/drawingml/2006/main" prst="ellipse">
                  <a:avLst/>
                </a:prstGeom>
                <a:noFill xmlns:a="http://schemas.openxmlformats.org/drawingml/2006/main"/>
                <a:ln xmlns:a="http://schemas.openxmlformats.org/drawingml/2006/main" w="12700">
                  <a:solidFill>
                    <a:srgbClr val="00B050"/>
                  </a:solidFill>
                  <a:prstDash val="dash"/>
                </a:ln>
              </cdr:spPr>
              <cdr:style>
                <a:lnRef xmlns:a="http://schemas.openxmlformats.org/drawingml/2006/main" idx="2">
                  <a:schemeClr val="accent1">
                    <a:shade val="50000"/>
                  </a:schemeClr>
                </a:lnRef>
                <a:fillRef xmlns:a="http://schemas.openxmlformats.org/drawingml/2006/main" idx="1">
                  <a:schemeClr val="accent1"/>
                </a:fillRef>
                <a:effectRef xmlns:a="http://schemas.openxmlformats.org/drawingml/2006/main" idx="0">
                  <a:schemeClr val="accent1"/>
                </a:effectRef>
                <a:fontRef xmlns:a="http://schemas.openxmlformats.org/drawingml/2006/main" idx="minor">
                  <a:schemeClr val="lt1"/>
                </a:fontRef>
              </cdr:style>
              <cdr:txBody>
    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 xmlns:a="http://schemas.openxmlformats.org/drawingml/2006/main"/>
                <a:p xmlns:a="http://schemas.openxmlformats.org/drawingml/2006/main">
                  <a:endParaRPr lang="de-DE"/>
                </a:p>
              </cdr:txBody>
            </cdr:sp>
            <cdr:sp macro="" textlink="">
              <cdr:nvSpPr>
                <cdr:cNvPr id="20" name="Textfeld 2"/>
                <cdr:cNvSpPr txBox="1">
                  <a:spLocks xmlns:a="http://schemas.openxmlformats.org/drawingml/2006/main" noChangeArrowheads="1"/>
                </cdr:cNvSpPr>
              </cdr:nvSpPr>
              <cdr:spPr bwMode="auto">
                <a:xfrm xmlns:a="http://schemas.openxmlformats.org/drawingml/2006/main" rot="21345410">
                  <a:off x="2359051" y="1906687"/>
                  <a:ext cx="1042834" cy="228600"/>
                </a:xfrm>
                <a:prstGeom xmlns:a="http://schemas.openxmlformats.org/drawingml/2006/main" prst="rect">
                  <a:avLst/>
                </a:prstGeom>
                <a:solidFill xmlns:a="http://schemas.openxmlformats.org/drawingml/2006/main">
                  <a:schemeClr val="accent3">
                    <a:lumMod val="20000"/>
                    <a:lumOff val="80000"/>
                  </a:schemeClr>
                </a:solidFill>
                <a:ln xmlns:a="http://schemas.openxmlformats.org/drawingml/2006/main" w="9525">
                  <a:solidFill>
                    <a:srgbClr val="00B050"/>
                  </a:solidFill>
                  <a:miter lim="800000"/>
                  <a:headEnd/>
                  <a:tailEnd/>
                </a:ln>
              </cdr:spPr>
              <cdr:txBody>
                <a:bodyPr xmlns:a="http://schemas.openxmlformats.org/drawingml/2006/main" rot="0" vert="horz" wrap="square" lIns="36000" tIns="36000" rIns="36000" bIns="36000" anchor="t" anchorCtr="0">
                  <a:noAutofit/>
                </a:bodyPr>
                <a:lstStyle xmlns:a="http://schemas.openxmlformats.org/drawingml/2006/main"/>
                <a:p xmlns:a="http://schemas.openxmlformats.org/drawingml/2006/main">
                  <a:pPr algn="ctr">
                    <a:spcAft>
                      <a:spcPts val="0"/>
                    </a:spcAft>
                  </a:pPr>
                  <a:r>
                    <a:rPr lang="de-DE" sz="1200" b="1">
                      <a:effectLst/>
                      <a:latin typeface="Times New Roman"/>
                      <a:ea typeface="Times New Roman"/>
                    </a:rPr>
                    <a:t>Saros 18,03 a</a:t>
                  </a:r>
                </a:p>
              </cdr:txBody>
            </cdr:sp>
          </cdr:grpSp>
          <cdr:grpSp>
            <cdr:nvGrpSpPr>
              <cdr:cNvPr id="5" name="Gruppieren 4"/>
              <cdr:cNvGrpSpPr/>
            </cdr:nvGrpSpPr>
            <cdr:grpSpPr>
              <a:xfrm xmlns:a="http://schemas.openxmlformats.org/drawingml/2006/main">
                <a:off x="-4451344" y="-697690"/>
                <a:ext cx="7229490" cy="2280837"/>
                <a:chOff x="-2035804" y="143780"/>
                <a:chExt cx="7229490" cy="2617226"/>
              </a:xfrm>
            </cdr:grpSpPr>
            <cdr:cxnSp macro="">
              <cdr:nvCxnSpPr>
                <cdr:cNvPr id="7" name="Gerade Verbindung mit Pfeil 6"/>
                <cdr:cNvCxnSpPr/>
              </cdr:nvCxnSpPr>
              <cdr:spPr>
                <a:xfrm xmlns:a="http://schemas.openxmlformats.org/drawingml/2006/main" flipV="1">
                  <a:off x="3336307" y="863839"/>
                  <a:ext cx="610853" cy="1867530"/>
                </a:xfrm>
                <a:prstGeom xmlns:a="http://schemas.openxmlformats.org/drawingml/2006/main" prst="straightConnector1">
                  <a:avLst/>
                </a:prstGeom>
                <a:ln xmlns:a="http://schemas.openxmlformats.org/drawingml/2006/main" w="12700">
                  <a:solidFill>
                    <a:schemeClr val="accent1">
                      <a:lumMod val="75000"/>
                    </a:schemeClr>
                  </a:solidFill>
                  <a:prstDash val="sysDash"/>
                  <a:headEnd type="arrow" w="med" len="med"/>
                  <a:tailEnd type="arrow" w="med" len="med"/>
                </a:ln>
              </cdr:spPr>
              <cdr:style>
                <a:lnRef xmlns:a="http://schemas.openxmlformats.org/drawingml/2006/main" idx="1">
                  <a:schemeClr val="accent1"/>
                </a:lnRef>
                <a:fillRef xmlns:a="http://schemas.openxmlformats.org/drawingml/2006/main" idx="0">
                  <a:schemeClr val="accent1"/>
                </a:fillRef>
                <a:effectRef xmlns:a="http://schemas.openxmlformats.org/drawingml/2006/main" idx="0">
                  <a:schemeClr val="accent1"/>
                </a:effectRef>
                <a:fontRef xmlns:a="http://schemas.openxmlformats.org/drawingml/2006/main" idx="minor">
                  <a:schemeClr val="tx1"/>
                </a:fontRef>
              </cdr:style>
            </cdr:cxnSp>
            <cdr:cxnSp macro="">
              <cdr:nvCxnSpPr>
                <cdr:cNvPr id="12" name="Gerade Verbindung mit Pfeil 11"/>
                <cdr:cNvCxnSpPr/>
              </cdr:nvCxnSpPr>
              <cdr:spPr>
                <a:xfrm xmlns:a="http://schemas.openxmlformats.org/drawingml/2006/main">
                  <a:off x="-1083302" y="1352515"/>
                  <a:ext cx="3705233" cy="0"/>
                </a:xfrm>
                <a:prstGeom xmlns:a="http://schemas.openxmlformats.org/drawingml/2006/main" prst="straightConnector1">
                  <a:avLst/>
                </a:prstGeom>
                <a:ln xmlns:a="http://schemas.openxmlformats.org/drawingml/2006/main" w="19050">
                  <a:solidFill>
                    <a:srgbClr val="C00000"/>
                  </a:solidFill>
                  <a:prstDash val="sysDash"/>
                  <a:headEnd type="arrow" w="med" len="med"/>
                  <a:tailEnd type="arrow" w="med" len="med"/>
                </a:ln>
              </cdr:spPr>
              <cdr:style>
                <a:lnRef xmlns:a="http://schemas.openxmlformats.org/drawingml/2006/main" idx="1">
                  <a:schemeClr val="accent1"/>
                </a:lnRef>
                <a:fillRef xmlns:a="http://schemas.openxmlformats.org/drawingml/2006/main" idx="0">
                  <a:schemeClr val="accent1"/>
                </a:fillRef>
                <a:effectRef xmlns:a="http://schemas.openxmlformats.org/drawingml/2006/main" idx="0">
                  <a:schemeClr val="accent1"/>
                </a:effectRef>
                <a:fontRef xmlns:a="http://schemas.openxmlformats.org/drawingml/2006/main" idx="minor">
                  <a:schemeClr val="tx1"/>
                </a:fontRef>
              </cdr:style>
            </cdr:cxnSp>
            <cdr:cxnSp macro="">
              <cdr:nvCxnSpPr>
                <cdr:cNvPr id="13" name="Gerade Verbindung mit Pfeil 12"/>
                <cdr:cNvCxnSpPr/>
              </cdr:nvCxnSpPr>
              <cdr:spPr>
                <a:xfrm xmlns:a="http://schemas.openxmlformats.org/drawingml/2006/main" flipV="1">
                  <a:off x="3879217" y="644445"/>
                  <a:ext cx="645159" cy="1925743"/>
                </a:xfrm>
                <a:prstGeom xmlns:a="http://schemas.openxmlformats.org/drawingml/2006/main" prst="straightConnector1">
                  <a:avLst/>
                </a:prstGeom>
                <a:ln xmlns:a="http://schemas.openxmlformats.org/drawingml/2006/main" w="12700">
                  <a:solidFill>
                    <a:schemeClr val="accent1">
                      <a:lumMod val="75000"/>
                    </a:schemeClr>
                  </a:solidFill>
                  <a:prstDash val="sysDash"/>
                  <a:headEnd type="arrow" w="med" len="med"/>
                  <a:tailEnd type="arrow" w="med" len="med"/>
                </a:ln>
              </cdr:spPr>
              <cdr:style>
                <a:lnRef xmlns:a="http://schemas.openxmlformats.org/drawingml/2006/main" idx="1">
                  <a:schemeClr val="accent1"/>
                </a:lnRef>
                <a:fillRef xmlns:a="http://schemas.openxmlformats.org/drawingml/2006/main" idx="0">
                  <a:schemeClr val="accent1"/>
                </a:fillRef>
                <a:effectRef xmlns:a="http://schemas.openxmlformats.org/drawingml/2006/main" idx="0">
                  <a:schemeClr val="accent1"/>
                </a:effectRef>
                <a:fontRef xmlns:a="http://schemas.openxmlformats.org/drawingml/2006/main" idx="minor">
                  <a:schemeClr val="tx1"/>
                </a:fontRef>
              </cdr:style>
            </cdr:cxnSp>
            <cdr:cxnSp macro="">
              <cdr:nvCxnSpPr>
                <cdr:cNvPr id="14" name="Gerade Verbindung mit Pfeil 13"/>
                <cdr:cNvCxnSpPr/>
              </cdr:nvCxnSpPr>
              <cdr:spPr>
                <a:xfrm xmlns:a="http://schemas.openxmlformats.org/drawingml/2006/main">
                  <a:off x="-1816733" y="1710646"/>
                  <a:ext cx="3619512" cy="8967"/>
                </a:xfrm>
                <a:prstGeom xmlns:a="http://schemas.openxmlformats.org/drawingml/2006/main" prst="straightConnector1">
                  <a:avLst/>
                </a:prstGeom>
                <a:ln xmlns:a="http://schemas.openxmlformats.org/drawingml/2006/main" w="19050">
                  <a:solidFill>
                    <a:srgbClr val="C00000"/>
                  </a:solidFill>
                  <a:prstDash val="sysDash"/>
                  <a:headEnd type="arrow" w="med" len="med"/>
                  <a:tailEnd type="arrow" w="med" len="med"/>
                </a:ln>
              </cdr:spPr>
              <cdr:style>
                <a:lnRef xmlns:a="http://schemas.openxmlformats.org/drawingml/2006/main" idx="1">
                  <a:schemeClr val="accent1"/>
                </a:lnRef>
                <a:fillRef xmlns:a="http://schemas.openxmlformats.org/drawingml/2006/main" idx="0">
                  <a:schemeClr val="accent1"/>
                </a:fillRef>
                <a:effectRef xmlns:a="http://schemas.openxmlformats.org/drawingml/2006/main" idx="0">
                  <a:schemeClr val="accent1"/>
                </a:effectRef>
                <a:fontRef xmlns:a="http://schemas.openxmlformats.org/drawingml/2006/main" idx="minor">
                  <a:schemeClr val="tx1"/>
                </a:fontRef>
              </cdr:style>
            </cdr:cxnSp>
            <cdr:cxnSp macro="">
              <cdr:nvCxnSpPr>
                <cdr:cNvPr id="8" name="Gerade Verbindung mit Pfeil 7"/>
                <cdr:cNvCxnSpPr/>
              </cdr:nvCxnSpPr>
              <cdr:spPr>
                <a:xfrm xmlns:a="http://schemas.openxmlformats.org/drawingml/2006/main" flipV="1">
                  <a:off x="3574433" y="681885"/>
                  <a:ext cx="621062" cy="1888319"/>
                </a:xfrm>
                <a:prstGeom xmlns:a="http://schemas.openxmlformats.org/drawingml/2006/main" prst="straightConnector1">
                  <a:avLst/>
                </a:prstGeom>
                <a:ln xmlns:a="http://schemas.openxmlformats.org/drawingml/2006/main" w="12700">
                  <a:solidFill>
                    <a:schemeClr val="accent1">
                      <a:lumMod val="75000"/>
                    </a:schemeClr>
                  </a:solidFill>
                  <a:prstDash val="sysDash"/>
                  <a:headEnd type="arrow" w="med" len="med"/>
                  <a:tailEnd type="arrow" w="med" len="med"/>
                </a:ln>
              </cdr:spPr>
              <cdr:style>
                <a:lnRef xmlns:a="http://schemas.openxmlformats.org/drawingml/2006/main" idx="1">
                  <a:schemeClr val="accent1"/>
                </a:lnRef>
                <a:fillRef xmlns:a="http://schemas.openxmlformats.org/drawingml/2006/main" idx="0">
                  <a:schemeClr val="accent1"/>
                </a:fillRef>
                <a:effectRef xmlns:a="http://schemas.openxmlformats.org/drawingml/2006/main" idx="0">
                  <a:schemeClr val="accent1"/>
                </a:effectRef>
                <a:fontRef xmlns:a="http://schemas.openxmlformats.org/drawingml/2006/main" idx="minor">
                  <a:schemeClr val="tx1"/>
                </a:fontRef>
              </cdr:style>
            </cdr:cxnSp>
            <cdr:cxnSp macro="">
              <cdr:nvCxnSpPr>
                <cdr:cNvPr id="6" name="Gerade Verbindung mit Pfeil 5"/>
                <cdr:cNvCxnSpPr/>
              </cdr:nvCxnSpPr>
              <cdr:spPr>
                <a:xfrm xmlns:a="http://schemas.openxmlformats.org/drawingml/2006/main" flipV="1">
                  <a:off x="4126867" y="492969"/>
                  <a:ext cx="609600" cy="1907102"/>
                </a:xfrm>
                <a:prstGeom xmlns:a="http://schemas.openxmlformats.org/drawingml/2006/main" prst="straightConnector1">
                  <a:avLst/>
                </a:prstGeom>
                <a:ln xmlns:a="http://schemas.openxmlformats.org/drawingml/2006/main" w="12700">
                  <a:solidFill>
                    <a:schemeClr val="accent1">
                      <a:lumMod val="75000"/>
                    </a:schemeClr>
                  </a:solidFill>
                  <a:prstDash val="sysDash"/>
                  <a:headEnd type="arrow" w="med" len="med"/>
                  <a:tailEnd type="arrow" w="med" len="med"/>
                </a:ln>
              </cdr:spPr>
              <cdr:style>
                <a:lnRef xmlns:a="http://schemas.openxmlformats.org/drawingml/2006/main" idx="1">
                  <a:schemeClr val="accent1"/>
                </a:lnRef>
                <a:fillRef xmlns:a="http://schemas.openxmlformats.org/drawingml/2006/main" idx="0">
                  <a:schemeClr val="accent1"/>
                </a:fillRef>
                <a:effectRef xmlns:a="http://schemas.openxmlformats.org/drawingml/2006/main" idx="0">
                  <a:schemeClr val="accent1"/>
                </a:effectRef>
                <a:fontRef xmlns:a="http://schemas.openxmlformats.org/drawingml/2006/main" idx="minor">
                  <a:schemeClr val="tx1"/>
                </a:fontRef>
              </cdr:style>
            </cdr:cxnSp>
            <cdr:cxnSp macro="">
              <cdr:nvCxnSpPr>
                <cdr:cNvPr id="9" name="Gerade Verbindung mit Pfeil 8"/>
                <cdr:cNvCxnSpPr/>
              </cdr:nvCxnSpPr>
              <cdr:spPr>
                <a:xfrm xmlns:a="http://schemas.openxmlformats.org/drawingml/2006/main" flipV="1">
                  <a:off x="4355467" y="331806"/>
                  <a:ext cx="600093" cy="1853382"/>
                </a:xfrm>
                <a:prstGeom xmlns:a="http://schemas.openxmlformats.org/drawingml/2006/main" prst="straightConnector1">
                  <a:avLst/>
                </a:prstGeom>
                <a:ln xmlns:a="http://schemas.openxmlformats.org/drawingml/2006/main" w="12700">
                  <a:solidFill>
                    <a:schemeClr val="accent1">
                      <a:lumMod val="75000"/>
                    </a:schemeClr>
                  </a:solidFill>
                  <a:prstDash val="sysDash"/>
                  <a:headEnd type="arrow" w="med" len="med"/>
                  <a:tailEnd type="arrow" w="med" len="med"/>
                </a:ln>
              </cdr:spPr>
              <cdr:style>
                <a:lnRef xmlns:a="http://schemas.openxmlformats.org/drawingml/2006/main" idx="1">
                  <a:schemeClr val="accent1"/>
                </a:lnRef>
                <a:fillRef xmlns:a="http://schemas.openxmlformats.org/drawingml/2006/main" idx="0">
                  <a:schemeClr val="accent1"/>
                </a:fillRef>
                <a:effectRef xmlns:a="http://schemas.openxmlformats.org/drawingml/2006/main" idx="0">
                  <a:schemeClr val="accent1"/>
                </a:effectRef>
                <a:fontRef xmlns:a="http://schemas.openxmlformats.org/drawingml/2006/main" idx="minor">
                  <a:schemeClr val="tx1"/>
                </a:fontRef>
              </cdr:style>
            </cdr:cxnSp>
            <cdr:cxnSp macro="">
              <cdr:nvCxnSpPr>
                <cdr:cNvPr id="10" name="Gerade Verbindung mit Pfeil 9"/>
                <cdr:cNvCxnSpPr/>
              </cdr:nvCxnSpPr>
              <cdr:spPr>
                <a:xfrm xmlns:a="http://schemas.openxmlformats.org/drawingml/2006/main" flipV="1">
                  <a:off x="3009900" y="860062"/>
                  <a:ext cx="659766" cy="1900944"/>
                </a:xfrm>
                <a:prstGeom xmlns:a="http://schemas.openxmlformats.org/drawingml/2006/main" prst="straightConnector1">
                  <a:avLst/>
                </a:prstGeom>
                <a:ln xmlns:a="http://schemas.openxmlformats.org/drawingml/2006/main" w="12700">
                  <a:solidFill>
                    <a:schemeClr val="accent1">
                      <a:lumMod val="75000"/>
                    </a:schemeClr>
                  </a:solidFill>
                  <a:prstDash val="sysDash"/>
                  <a:headEnd type="arrow" w="med" len="med"/>
                  <a:tailEnd type="arrow" w="med" len="med"/>
                </a:ln>
              </cdr:spPr>
              <cdr:style>
                <a:lnRef xmlns:a="http://schemas.openxmlformats.org/drawingml/2006/main" idx="1">
                  <a:schemeClr val="accent1"/>
                </a:lnRef>
                <a:fillRef xmlns:a="http://schemas.openxmlformats.org/drawingml/2006/main" idx="0">
                  <a:schemeClr val="accent1"/>
                </a:fillRef>
                <a:effectRef xmlns:a="http://schemas.openxmlformats.org/drawingml/2006/main" idx="0">
                  <a:schemeClr val="accent1"/>
                </a:effectRef>
                <a:fontRef xmlns:a="http://schemas.openxmlformats.org/drawingml/2006/main" idx="minor">
                  <a:schemeClr val="tx1"/>
                </a:fontRef>
              </cdr:style>
            </cdr:cxnSp>
            <cdr:cxnSp macro="">
              <cdr:nvCxnSpPr>
                <cdr:cNvPr id="11" name="Gerade Verbindung mit Pfeil 10"/>
                <cdr:cNvCxnSpPr/>
              </cdr:nvCxnSpPr>
              <cdr:spPr>
                <a:xfrm xmlns:a="http://schemas.openxmlformats.org/drawingml/2006/main" flipV="1">
                  <a:off x="4584085" y="143780"/>
                  <a:ext cx="609601" cy="1889208"/>
                </a:xfrm>
                <a:prstGeom xmlns:a="http://schemas.openxmlformats.org/drawingml/2006/main" prst="straightConnector1">
                  <a:avLst/>
                </a:prstGeom>
                <a:ln xmlns:a="http://schemas.openxmlformats.org/drawingml/2006/main" w="12700">
                  <a:solidFill>
                    <a:schemeClr val="accent1">
                      <a:lumMod val="75000"/>
                    </a:schemeClr>
                  </a:solidFill>
                  <a:prstDash val="sysDash"/>
                  <a:headEnd type="arrow" w="med" len="med"/>
                  <a:tailEnd type="arrow" w="med" len="med"/>
                </a:ln>
              </cdr:spPr>
              <cdr:style>
                <a:lnRef xmlns:a="http://schemas.openxmlformats.org/drawingml/2006/main" idx="1">
                  <a:schemeClr val="accent1"/>
                </a:lnRef>
                <a:fillRef xmlns:a="http://schemas.openxmlformats.org/drawingml/2006/main" idx="0">
                  <a:schemeClr val="accent1"/>
                </a:fillRef>
                <a:effectRef xmlns:a="http://schemas.openxmlformats.org/drawingml/2006/main" idx="0">
                  <a:schemeClr val="accent1"/>
                </a:effectRef>
                <a:fontRef xmlns:a="http://schemas.openxmlformats.org/drawingml/2006/main" idx="minor">
                  <a:schemeClr val="tx1"/>
                </a:fontRef>
              </cdr:style>
            </cdr:cxnSp>
            <cdr:cxnSp macro="">
              <cdr:nvCxnSpPr>
                <cdr:cNvPr id="15" name="Gerade Verbindung mit Pfeil 14"/>
                <cdr:cNvCxnSpPr/>
              </cdr:nvCxnSpPr>
              <cdr:spPr>
                <a:xfrm xmlns:a="http://schemas.openxmlformats.org/drawingml/2006/main">
                  <a:off x="-2035804" y="1880777"/>
                  <a:ext cx="3638546" cy="8939"/>
                </a:xfrm>
                <a:prstGeom xmlns:a="http://schemas.openxmlformats.org/drawingml/2006/main" prst="straightConnector1">
                  <a:avLst/>
                </a:prstGeom>
                <a:ln xmlns:a="http://schemas.openxmlformats.org/drawingml/2006/main" w="19050">
                  <a:solidFill>
                    <a:srgbClr val="C00000"/>
                  </a:solidFill>
                  <a:prstDash val="sysDash"/>
                  <a:headEnd type="arrow" w="med" len="med"/>
                  <a:tailEnd type="arrow" w="med" len="med"/>
                </a:ln>
              </cdr:spPr>
              <cdr:style>
                <a:lnRef xmlns:a="http://schemas.openxmlformats.org/drawingml/2006/main" idx="1">
                  <a:schemeClr val="accent1"/>
                </a:lnRef>
                <a:fillRef xmlns:a="http://schemas.openxmlformats.org/drawingml/2006/main" idx="0">
                  <a:schemeClr val="accent1"/>
                </a:fillRef>
                <a:effectRef xmlns:a="http://schemas.openxmlformats.org/drawingml/2006/main" idx="0">
                  <a:schemeClr val="accent1"/>
                </a:effectRef>
                <a:fontRef xmlns:a="http://schemas.openxmlformats.org/drawingml/2006/main" idx="minor">
                  <a:schemeClr val="tx1"/>
                </a:fontRef>
              </cdr:style>
            </cdr:cxnSp>
          </cdr:grpSp>
        </cdr:grpSp>
        <cdr:sp macro="" textlink="">
          <cdr:nvSpPr>
            <cdr:cNvPr id="25" name="Textfeld 24"/>
            <cdr:cNvSpPr txBox="1"/>
          </cdr:nvSpPr>
          <cdr:spPr>
            <a:xfrm xmlns:a="http://schemas.openxmlformats.org/drawingml/2006/main">
              <a:off x="2219325" y="2276475"/>
              <a:ext cx="1250189" cy="676274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accent6">
                <a:lumMod val="20000"/>
                <a:lumOff val="80000"/>
              </a:schemeClr>
            </a:solidFill>
            <a:ln xmlns:a="http://schemas.openxmlformats.org/drawingml/2006/main" w="12700">
              <a:solidFill>
                <a:schemeClr val="accent6">
                  <a:lumMod val="75000"/>
                </a:schemeClr>
              </a:solidFill>
            </a:ln>
          </cdr:spPr>
          <cdr:txBody>
            <a:bodyPr xmlns:a="http://schemas.openxmlformats.org/drawingml/2006/main" vertOverflow="clip" wrap="square" rtlCol="0" anchor="ctr"/>
            <a:lstStyle xmlns:a="http://schemas.openxmlformats.org/drawingml/2006/main"/>
            <a:p xmlns:a="http://schemas.openxmlformats.org/drawingml/2006/main">
              <a:pPr algn="ctr"/>
              <a:r>
                <a:rPr lang="de-DE" sz="1200" b="1"/>
                <a:t>Semester 177 d</a:t>
              </a:r>
            </a:p>
          </cdr:txBody>
        </cdr:sp>
        <cdr:sp macro="" textlink="">
          <cdr:nvSpPr>
            <cdr:cNvPr id="26" name="Textfeld 25"/>
            <cdr:cNvSpPr txBox="1"/>
          </cdr:nvSpPr>
          <cdr:spPr>
            <a:xfrm xmlns:a="http://schemas.openxmlformats.org/drawingml/2006/main" rot="940374">
              <a:off x="6230025" y="2326874"/>
              <a:ext cx="1613620" cy="26999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accent1">
                <a:lumMod val="20000"/>
                <a:lumOff val="80000"/>
              </a:schemeClr>
            </a:solidFill>
            <a:ln xmlns:a="http://schemas.openxmlformats.org/drawingml/2006/main">
              <a:solidFill>
                <a:schemeClr val="tx2">
                  <a:lumMod val="75000"/>
                </a:schemeClr>
              </a:solidFill>
            </a:ln>
          </cdr:spPr>
          <cdr:txBody>
            <a:bodyPr xmlns:a="http://schemas.openxmlformats.org/drawingml/2006/main" vertOverflow="clip" wrap="square" rtlCol="0"/>
            <a:lstStyle xmlns:a="http://schemas.openxmlformats.org/drawingml/2006/main"/>
            <a:p xmlns:a="http://schemas.openxmlformats.org/drawingml/2006/main">
              <a:pPr algn="ctr"/>
              <a:r>
                <a:rPr lang="de-DE" sz="1200" b="1"/>
                <a:t>Tritos 10,9 a</a:t>
              </a:r>
            </a:p>
          </cdr:txBody>
        </cdr:sp>
      </cdr:grp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142874</xdr:colOff>
      <xdr:row>5</xdr:row>
      <xdr:rowOff>28575</xdr:rowOff>
    </xdr:from>
    <xdr:to>
      <xdr:col>14</xdr:col>
      <xdr:colOff>95251</xdr:colOff>
      <xdr:row>37</xdr:row>
      <xdr:rowOff>85725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0.17278</cdr:x>
      <cdr:y>0.08182</cdr:y>
    </cdr:from>
    <cdr:to>
      <cdr:x>0.32286</cdr:x>
      <cdr:y>0.14182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942976" y="428625"/>
          <a:ext cx="8191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0.09133</cdr:x>
      <cdr:y>0.06546</cdr:y>
    </cdr:from>
    <cdr:to>
      <cdr:x>0.38909</cdr:x>
      <cdr:y>0.11273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478450" y="342924"/>
          <a:ext cx="1559891" cy="247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de-DE" sz="1600">
              <a:latin typeface="Times New Roman" pitchFamily="18" charset="0"/>
              <a:cs typeface="Times New Roman" pitchFamily="18" charset="0"/>
            </a:rPr>
            <a:t>Mondbahnebene</a:t>
          </a:r>
        </a:p>
      </cdr:txBody>
    </cdr:sp>
  </cdr:relSizeAnchor>
  <cdr:relSizeAnchor xmlns:cdr="http://schemas.openxmlformats.org/drawingml/2006/chartDrawing">
    <cdr:from>
      <cdr:x>0.26876</cdr:x>
      <cdr:y>0.55273</cdr:y>
    </cdr:from>
    <cdr:to>
      <cdr:x>0.47993</cdr:x>
      <cdr:y>0.71455</cdr:y>
    </cdr:to>
    <cdr:sp macro="" textlink="">
      <cdr:nvSpPr>
        <cdr:cNvPr id="6" name="Textfeld 5"/>
        <cdr:cNvSpPr txBox="1"/>
      </cdr:nvSpPr>
      <cdr:spPr>
        <a:xfrm xmlns:a="http://schemas.openxmlformats.org/drawingml/2006/main">
          <a:off x="1466851" y="2895600"/>
          <a:ext cx="1152525" cy="847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0.33159</cdr:x>
      <cdr:y>0.59636</cdr:y>
    </cdr:from>
    <cdr:to>
      <cdr:x>0.4363</cdr:x>
      <cdr:y>0.59738</cdr:y>
    </cdr:to>
    <cdr:cxnSp macro="">
      <cdr:nvCxnSpPr>
        <cdr:cNvPr id="9" name="Gerade Verbindung 8"/>
        <cdr:cNvCxnSpPr/>
      </cdr:nvCxnSpPr>
      <cdr:spPr bwMode="auto">
        <a:xfrm xmlns:a="http://schemas.openxmlformats.org/drawingml/2006/main" flipV="1">
          <a:off x="1809751" y="3124200"/>
          <a:ext cx="571500" cy="532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0.43805</cdr:x>
      <cdr:y>0.58372</cdr:y>
    </cdr:from>
    <cdr:to>
      <cdr:x>0.43805</cdr:x>
      <cdr:y>0.60909</cdr:y>
    </cdr:to>
    <cdr:cxnSp macro="">
      <cdr:nvCxnSpPr>
        <cdr:cNvPr id="17" name="Gerade Verbindung 16"/>
        <cdr:cNvCxnSpPr/>
      </cdr:nvCxnSpPr>
      <cdr:spPr bwMode="auto">
        <a:xfrm xmlns:a="http://schemas.openxmlformats.org/drawingml/2006/main">
          <a:off x="2390776" y="3057975"/>
          <a:ext cx="0" cy="13288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0.33042</cdr:x>
      <cdr:y>0.58242</cdr:y>
    </cdr:from>
    <cdr:to>
      <cdr:x>0.33042</cdr:x>
      <cdr:y>0.60779</cdr:y>
    </cdr:to>
    <cdr:cxnSp macro="">
      <cdr:nvCxnSpPr>
        <cdr:cNvPr id="39" name="Gerade Verbindung 38"/>
        <cdr:cNvCxnSpPr/>
      </cdr:nvCxnSpPr>
      <cdr:spPr bwMode="auto">
        <a:xfrm xmlns:a="http://schemas.openxmlformats.org/drawingml/2006/main">
          <a:off x="1803401" y="3051160"/>
          <a:ext cx="0" cy="13288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</cdr:x>
      <cdr:y>0.54</cdr:y>
    </cdr:from>
    <cdr:to>
      <cdr:x>0.47644</cdr:x>
      <cdr:y>0.66353</cdr:y>
    </cdr:to>
    <cdr:sp macro="" textlink="">
      <cdr:nvSpPr>
        <cdr:cNvPr id="23" name="Textfeld 22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1571627" y="2828925"/>
          <a:ext cx="924324" cy="647143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de-DE" sz="1200"/>
            <a:t>  Pfeile:</a:t>
          </a:r>
        </a:p>
        <a:p xmlns:a="http://schemas.openxmlformats.org/drawingml/2006/main">
          <a:endParaRPr lang="de-DE" sz="1200"/>
        </a:p>
        <a:p xmlns:a="http://schemas.openxmlformats.org/drawingml/2006/main">
          <a:r>
            <a:rPr lang="de-DE" sz="1200"/>
            <a:t>  0,00003 N/kg</a:t>
          </a:r>
        </a:p>
      </cdr:txBody>
    </cdr:sp>
  </cdr:relSizeAnchor>
  <cdr:relSizeAnchor xmlns:cdr="http://schemas.openxmlformats.org/drawingml/2006/chartDrawing">
    <cdr:from>
      <cdr:x>0.33159</cdr:x>
      <cdr:y>0.59636</cdr:y>
    </cdr:from>
    <cdr:to>
      <cdr:x>0.43805</cdr:x>
      <cdr:y>0.59636</cdr:y>
    </cdr:to>
    <cdr:cxnSp macro="">
      <cdr:nvCxnSpPr>
        <cdr:cNvPr id="11" name="Gerade Verbindung 10"/>
        <cdr:cNvCxnSpPr/>
      </cdr:nvCxnSpPr>
      <cdr:spPr bwMode="auto">
        <a:xfrm xmlns:a="http://schemas.openxmlformats.org/drawingml/2006/main">
          <a:off x="1809751" y="3124200"/>
          <a:ext cx="581025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0.17278</cdr:x>
      <cdr:y>0.08182</cdr:y>
    </cdr:from>
    <cdr:to>
      <cdr:x>0.32286</cdr:x>
      <cdr:y>0.14182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942976" y="428625"/>
          <a:ext cx="8191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0.09133</cdr:x>
      <cdr:y>0.06546</cdr:y>
    </cdr:from>
    <cdr:to>
      <cdr:x>0.38909</cdr:x>
      <cdr:y>0.11273</cdr:y>
    </cdr:to>
    <cdr:sp macro="" textlink="">
      <cdr:nvSpPr>
        <cdr:cNvPr id="7" name="Textfeld 3"/>
        <cdr:cNvSpPr txBox="1"/>
      </cdr:nvSpPr>
      <cdr:spPr>
        <a:xfrm xmlns:a="http://schemas.openxmlformats.org/drawingml/2006/main">
          <a:off x="478450" y="342924"/>
          <a:ext cx="1559891" cy="247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de-DE" sz="1600">
              <a:latin typeface="Times New Roman" pitchFamily="18" charset="0"/>
              <a:cs typeface="Times New Roman" pitchFamily="18" charset="0"/>
            </a:rPr>
            <a:t>Mondbahnebene</a:t>
          </a:r>
        </a:p>
      </cdr:txBody>
    </cdr:sp>
  </cdr:relSizeAnchor>
  <cdr:relSizeAnchor xmlns:cdr="http://schemas.openxmlformats.org/drawingml/2006/chartDrawing">
    <cdr:from>
      <cdr:x>0.26876</cdr:x>
      <cdr:y>0.55273</cdr:y>
    </cdr:from>
    <cdr:to>
      <cdr:x>0.47993</cdr:x>
      <cdr:y>0.71455</cdr:y>
    </cdr:to>
    <cdr:sp macro="" textlink="">
      <cdr:nvSpPr>
        <cdr:cNvPr id="8" name="Textfeld 5"/>
        <cdr:cNvSpPr txBox="1"/>
      </cdr:nvSpPr>
      <cdr:spPr>
        <a:xfrm xmlns:a="http://schemas.openxmlformats.org/drawingml/2006/main">
          <a:off x="1466851" y="2895600"/>
          <a:ext cx="1152525" cy="847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0.33159</cdr:x>
      <cdr:y>0.59636</cdr:y>
    </cdr:from>
    <cdr:to>
      <cdr:x>0.4363</cdr:x>
      <cdr:y>0.59738</cdr:y>
    </cdr:to>
    <cdr:cxnSp macro="">
      <cdr:nvCxnSpPr>
        <cdr:cNvPr id="10" name="Gerade Verbindung 8"/>
        <cdr:cNvCxnSpPr/>
      </cdr:nvCxnSpPr>
      <cdr:spPr bwMode="auto">
        <a:xfrm xmlns:a="http://schemas.openxmlformats.org/drawingml/2006/main" flipV="1">
          <a:off x="1809751" y="3124200"/>
          <a:ext cx="571500" cy="532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0.43805</cdr:x>
      <cdr:y>0.58372</cdr:y>
    </cdr:from>
    <cdr:to>
      <cdr:x>0.43805</cdr:x>
      <cdr:y>0.60909</cdr:y>
    </cdr:to>
    <cdr:cxnSp macro="">
      <cdr:nvCxnSpPr>
        <cdr:cNvPr id="12" name="Gerade Verbindung 16"/>
        <cdr:cNvCxnSpPr/>
      </cdr:nvCxnSpPr>
      <cdr:spPr bwMode="auto">
        <a:xfrm xmlns:a="http://schemas.openxmlformats.org/drawingml/2006/main">
          <a:off x="2390776" y="3057975"/>
          <a:ext cx="0" cy="13288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0.33042</cdr:x>
      <cdr:y>0.58242</cdr:y>
    </cdr:from>
    <cdr:to>
      <cdr:x>0.33042</cdr:x>
      <cdr:y>0.60779</cdr:y>
    </cdr:to>
    <cdr:cxnSp macro="">
      <cdr:nvCxnSpPr>
        <cdr:cNvPr id="13" name="Gerade Verbindung 38"/>
        <cdr:cNvCxnSpPr/>
      </cdr:nvCxnSpPr>
      <cdr:spPr bwMode="auto">
        <a:xfrm xmlns:a="http://schemas.openxmlformats.org/drawingml/2006/main">
          <a:off x="1803401" y="3051160"/>
          <a:ext cx="0" cy="13288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</cdr:x>
      <cdr:y>0.54</cdr:y>
    </cdr:from>
    <cdr:to>
      <cdr:x>0.47644</cdr:x>
      <cdr:y>0.66353</cdr:y>
    </cdr:to>
    <cdr:sp macro="" textlink="">
      <cdr:nvSpPr>
        <cdr:cNvPr id="14" name="Textfeld 22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1571627" y="2828925"/>
          <a:ext cx="924324" cy="647143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de-DE" sz="1200"/>
            <a:t>  Pfeile:</a:t>
          </a:r>
        </a:p>
        <a:p xmlns:a="http://schemas.openxmlformats.org/drawingml/2006/main">
          <a:endParaRPr lang="de-DE" sz="1200"/>
        </a:p>
        <a:p xmlns:a="http://schemas.openxmlformats.org/drawingml/2006/main">
          <a:r>
            <a:rPr lang="de-DE" sz="1200"/>
            <a:t>  0,00003 N/kg</a:t>
          </a:r>
        </a:p>
      </cdr:txBody>
    </cdr:sp>
  </cdr:relSizeAnchor>
  <cdr:relSizeAnchor xmlns:cdr="http://schemas.openxmlformats.org/drawingml/2006/chartDrawing">
    <cdr:from>
      <cdr:x>0.33159</cdr:x>
      <cdr:y>0.3795</cdr:y>
    </cdr:from>
    <cdr:to>
      <cdr:x>0.63177</cdr:x>
      <cdr:y>0.59636</cdr:y>
    </cdr:to>
    <cdr:grpSp>
      <cdr:nvGrpSpPr>
        <cdr:cNvPr id="16" name="Gruppieren 15"/>
        <cdr:cNvGrpSpPr/>
      </cdr:nvGrpSpPr>
      <cdr:grpSpPr>
        <a:xfrm xmlns:a="http://schemas.openxmlformats.org/drawingml/2006/main">
          <a:off x="1844503" y="1988106"/>
          <a:ext cx="1669782" cy="1136075"/>
          <a:chOff x="1844503" y="1988115"/>
          <a:chExt cx="1669798" cy="1136066"/>
        </a:xfrm>
      </cdr:grpSpPr>
      <cdr:cxnSp macro="">
        <cdr:nvCxnSpPr>
          <cdr:cNvPr id="15" name="Gerade Verbindung 10"/>
          <cdr:cNvCxnSpPr/>
        </cdr:nvCxnSpPr>
        <cdr:spPr bwMode="auto">
          <a:xfrm xmlns:a="http://schemas.openxmlformats.org/drawingml/2006/main">
            <a:off x="1844503" y="3124181"/>
            <a:ext cx="592195" cy="0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28575" cap="flat" cmpd="sng" algn="ctr">
            <a:solidFill>
              <a:srgbClr val="C0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sp macro="" textlink="">
        <cdr:nvSpPr>
          <cdr:cNvPr id="5" name="Bogen 4"/>
          <cdr:cNvSpPr/>
        </cdr:nvSpPr>
        <cdr:spPr bwMode="auto">
          <a:xfrm xmlns:a="http://schemas.openxmlformats.org/drawingml/2006/main" rot="931799">
            <a:off x="2636929" y="1988115"/>
            <a:ext cx="877372" cy="942975"/>
          </a:xfrm>
          <a:prstGeom xmlns:a="http://schemas.openxmlformats.org/drawingml/2006/main" prst="arc">
            <a:avLst/>
          </a:prstGeom>
          <a:noFill xmlns:a="http://schemas.openxmlformats.org/drawingml/2006/main"/>
          <a:ln xmlns:a="http://schemas.openxmlformats.org/drawingml/2006/main" w="12700" cap="flat" cmpd="sng" algn="ctr">
            <a:solidFill>
              <a:srgbClr val="000000"/>
            </a:solidFill>
            <a:prstDash val="solid"/>
            <a:round/>
            <a:headEnd type="arrow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vertOverflow="clip" wrap="square" lIns="18288" tIns="0" rIns="0" bIns="0" upright="1"/>
          <a:lstStyle xmlns:a="http://schemas.openxmlformats.org/drawingml/2006/main"/>
          <a:p xmlns:a="http://schemas.openxmlformats.org/drawingml/2006/main">
            <a:endParaRPr lang="de-DE"/>
          </a:p>
        </cdr:txBody>
      </cdr:sp>
    </cdr:grp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0.41897</cdr:x>
      <cdr:y>0.15876</cdr:y>
    </cdr:from>
    <cdr:to>
      <cdr:x>0.45862</cdr:x>
      <cdr:y>0.19708</cdr:y>
    </cdr:to>
    <cdr:sp macro="" textlink="">
      <cdr:nvSpPr>
        <cdr:cNvPr id="13" name="Gerade Verbindung 12"/>
        <cdr:cNvSpPr/>
      </cdr:nvSpPr>
      <cdr:spPr bwMode="auto">
        <a:xfrm xmlns:a="http://schemas.openxmlformats.org/drawingml/2006/main" rot="5400000">
          <a:off x="2324100" y="819153"/>
          <a:ext cx="200024" cy="219075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tx2">
              <a:lumMod val="75000"/>
            </a:schemeClr>
          </a:solidFill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</cdr:x>
      <cdr:y>0</cdr:y>
    </cdr:from>
    <cdr:to>
      <cdr:x>0.00452</cdr:x>
      <cdr:y>0.00467</cdr:y>
    </cdr:to>
    <cdr:pic>
      <cdr:nvPicPr>
        <cdr:cNvPr id="1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0.15556</cdr:x>
      <cdr:y>0.46547</cdr:y>
    </cdr:from>
    <cdr:to>
      <cdr:x>0.54105</cdr:x>
      <cdr:y>0.84812</cdr:y>
    </cdr:to>
    <cdr:grpSp>
      <cdr:nvGrpSpPr>
        <cdr:cNvPr id="4" name="Gruppieren 3"/>
        <cdr:cNvGrpSpPr/>
      </cdr:nvGrpSpPr>
      <cdr:grpSpPr>
        <a:xfrm xmlns:a="http://schemas.openxmlformats.org/drawingml/2006/main">
          <a:off x="889025" y="2460649"/>
          <a:ext cx="2203076" cy="2022831"/>
          <a:chOff x="1" y="0"/>
          <a:chExt cx="2210796" cy="2056758"/>
        </a:xfrm>
      </cdr:grpSpPr>
      <cdr:sp macro="" textlink="">
        <cdr:nvSpPr>
          <cdr:cNvPr id="5" name="Ellipse 4"/>
          <cdr:cNvSpPr/>
        </cdr:nvSpPr>
        <cdr:spPr bwMode="auto">
          <a:xfrm xmlns:a="http://schemas.openxmlformats.org/drawingml/2006/main" rot="1337728">
            <a:off x="399223" y="628574"/>
            <a:ext cx="458424" cy="658953"/>
          </a:xfrm>
          <a:prstGeom xmlns:a="http://schemas.openxmlformats.org/drawingml/2006/main" prst="ellipse">
            <a:avLst/>
          </a:prstGeom>
          <a:noFill xmlns:a="http://schemas.openxmlformats.org/drawingml/2006/main"/>
          <a:ln xmlns:a="http://schemas.openxmlformats.org/drawingml/2006/main" w="19050" cap="flat" cmpd="sng" algn="ctr">
            <a:solidFill>
              <a:srgbClr val="000000"/>
            </a:solidFill>
            <a:prstDash val="solid"/>
            <a:round/>
            <a:headEnd type="arrow" w="med" len="med"/>
            <a:tailEnd type="arrow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de-DE"/>
          </a:p>
        </cdr:txBody>
      </cdr:sp>
      <cdr:cxnSp macro="">
        <cdr:nvCxnSpPr>
          <cdr:cNvPr id="6" name="Gerade Verbindung 5"/>
          <cdr:cNvCxnSpPr/>
        </cdr:nvCxnSpPr>
        <cdr:spPr bwMode="auto">
          <a:xfrm xmlns:a="http://schemas.openxmlformats.org/drawingml/2006/main" flipV="1">
            <a:off x="656344" y="9685"/>
            <a:ext cx="1446503" cy="926490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12700" cap="flat" cmpd="sng" algn="ctr">
            <a:solidFill>
              <a:srgbClr val="FF0000"/>
            </a:solidFill>
            <a:prstDash val="sysDot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sp macro="" textlink="">
        <cdr:nvSpPr>
          <cdr:cNvPr id="7" name="Ellipse 6"/>
          <cdr:cNvSpPr/>
        </cdr:nvSpPr>
        <cdr:spPr bwMode="auto">
          <a:xfrm xmlns:a="http://schemas.openxmlformats.org/drawingml/2006/main" rot="1496220">
            <a:off x="1752373" y="1397805"/>
            <a:ext cx="458424" cy="658953"/>
          </a:xfrm>
          <a:prstGeom xmlns:a="http://schemas.openxmlformats.org/drawingml/2006/main" prst="ellipse">
            <a:avLst/>
          </a:prstGeom>
          <a:noFill xmlns:a="http://schemas.openxmlformats.org/drawingml/2006/main"/>
          <a:ln xmlns:a="http://schemas.openxmlformats.org/drawingml/2006/main" w="19050" cap="flat" cmpd="sng" algn="ctr">
            <a:solidFill>
              <a:srgbClr val="000000"/>
            </a:solidFill>
            <a:prstDash val="solid"/>
            <a:round/>
            <a:headEnd type="arrow" w="med" len="med"/>
            <a:tailEnd type="arrow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de-DE"/>
          </a:p>
        </cdr:txBody>
      </cdr:sp>
      <cdr:cxnSp macro="">
        <cdr:nvCxnSpPr>
          <cdr:cNvPr id="8" name="Gerade Verbindung 7"/>
          <cdr:cNvCxnSpPr/>
        </cdr:nvCxnSpPr>
        <cdr:spPr bwMode="auto">
          <a:xfrm xmlns:a="http://schemas.openxmlformats.org/drawingml/2006/main" flipV="1">
            <a:off x="2000891" y="0"/>
            <a:ext cx="111515" cy="1688343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12700" cap="flat" cmpd="sng" algn="ctr">
            <a:solidFill>
              <a:srgbClr val="FF0000"/>
            </a:solidFill>
            <a:prstDash val="sysDot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  <cdr:cxnSp macro="">
        <cdr:nvCxnSpPr>
          <cdr:cNvPr id="9" name="Gerade Verbindung mit Pfeil 8"/>
          <cdr:cNvCxnSpPr/>
        </cdr:nvCxnSpPr>
        <cdr:spPr bwMode="auto">
          <a:xfrm xmlns:a="http://schemas.openxmlformats.org/drawingml/2006/main" flipV="1">
            <a:off x="1" y="1113726"/>
            <a:ext cx="353660" cy="222744"/>
          </a:xfrm>
          <a:prstGeom xmlns:a="http://schemas.openxmlformats.org/drawingml/2006/main" prst="straightConnector1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arrow"/>
          </a:ln>
          <a:effectLst xmlns:a="http://schemas.openxmlformats.org/drawingml/2006/main"/>
        </cdr:spPr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114300</xdr:colOff>
      <xdr:row>99</xdr:row>
      <xdr:rowOff>142875</xdr:rowOff>
    </xdr:from>
    <xdr:to>
      <xdr:col>29</xdr:col>
      <xdr:colOff>200025</xdr:colOff>
      <xdr:row>124</xdr:row>
      <xdr:rowOff>38100</xdr:rowOff>
    </xdr:to>
    <xdr:graphicFrame macro="">
      <xdr:nvGraphicFramePr>
        <xdr:cNvPr id="47" name="Diagramm 4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142875</xdr:colOff>
      <xdr:row>24</xdr:row>
      <xdr:rowOff>0</xdr:rowOff>
    </xdr:from>
    <xdr:to>
      <xdr:col>37</xdr:col>
      <xdr:colOff>47625</xdr:colOff>
      <xdr:row>56</xdr:row>
      <xdr:rowOff>28576</xdr:rowOff>
    </xdr:to>
    <xdr:grpSp>
      <xdr:nvGrpSpPr>
        <xdr:cNvPr id="81" name="Gruppieren 80"/>
        <xdr:cNvGrpSpPr/>
      </xdr:nvGrpSpPr>
      <xdr:grpSpPr>
        <a:xfrm>
          <a:off x="11372850" y="4114800"/>
          <a:ext cx="3933825" cy="5295901"/>
          <a:chOff x="8220076" y="3529812"/>
          <a:chExt cx="4448174" cy="4218816"/>
        </a:xfrm>
      </xdr:grpSpPr>
      <xdr:graphicFrame macro="">
        <xdr:nvGraphicFramePr>
          <xdr:cNvPr id="86" name="Diagramm 85"/>
          <xdr:cNvGraphicFramePr/>
        </xdr:nvGraphicFramePr>
        <xdr:xfrm>
          <a:off x="8220076" y="3529812"/>
          <a:ext cx="4448174" cy="421881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 macro="">
        <xdr:nvCxnSpPr>
          <xdr:cNvPr id="84" name="Gerade Verbindung mit Pfeil 83"/>
          <xdr:cNvCxnSpPr/>
        </xdr:nvCxnSpPr>
        <xdr:spPr bwMode="auto">
          <a:xfrm rot="10800000" flipV="1">
            <a:off x="12018622" y="4584986"/>
            <a:ext cx="386430" cy="3368"/>
          </a:xfrm>
          <a:prstGeom prst="straightConnector1">
            <a:avLst/>
          </a:prstGeom>
          <a:ln w="22225">
            <a:solidFill>
              <a:schemeClr val="bg1">
                <a:lumMod val="50000"/>
              </a:schemeClr>
            </a:solidFill>
            <a:headEnd type="none" w="med" len="med"/>
            <a:tailEnd type="arrow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5" name="Gerade Verbindung mit Pfeil 84"/>
          <xdr:cNvCxnSpPr/>
        </xdr:nvCxnSpPr>
        <xdr:spPr bwMode="auto">
          <a:xfrm rot="5400000" flipH="1" flipV="1">
            <a:off x="8997254" y="6716003"/>
            <a:ext cx="314578" cy="1951"/>
          </a:xfrm>
          <a:prstGeom prst="straightConnector1">
            <a:avLst/>
          </a:prstGeom>
          <a:ln w="22225">
            <a:solidFill>
              <a:schemeClr val="bg1">
                <a:lumMod val="50000"/>
              </a:schemeClr>
            </a:solidFill>
            <a:headEnd type="none" w="med" len="med"/>
            <a:tailEnd type="arrow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142875</xdr:colOff>
      <xdr:row>60</xdr:row>
      <xdr:rowOff>95250</xdr:rowOff>
    </xdr:from>
    <xdr:to>
      <xdr:col>27</xdr:col>
      <xdr:colOff>47625</xdr:colOff>
      <xdr:row>95</xdr:row>
      <xdr:rowOff>104775</xdr:rowOff>
    </xdr:to>
    <xdr:grpSp>
      <xdr:nvGrpSpPr>
        <xdr:cNvPr id="66" name="Gruppieren 65"/>
        <xdr:cNvGrpSpPr/>
      </xdr:nvGrpSpPr>
      <xdr:grpSpPr>
        <a:xfrm>
          <a:off x="7239000" y="10144125"/>
          <a:ext cx="5019675" cy="5743575"/>
          <a:chOff x="8410575" y="11439526"/>
          <a:chExt cx="4219575" cy="4819650"/>
        </a:xfrm>
      </xdr:grpSpPr>
      <xdr:grpSp>
        <xdr:nvGrpSpPr>
          <xdr:cNvPr id="60" name="Gruppieren 59"/>
          <xdr:cNvGrpSpPr/>
        </xdr:nvGrpSpPr>
        <xdr:grpSpPr>
          <a:xfrm>
            <a:off x="8410575" y="11439526"/>
            <a:ext cx="4219575" cy="4819650"/>
            <a:chOff x="8410575" y="11439526"/>
            <a:chExt cx="4219575" cy="4819650"/>
          </a:xfrm>
        </xdr:grpSpPr>
        <xdr:graphicFrame macro="">
          <xdr:nvGraphicFramePr>
            <xdr:cNvPr id="50" name="Diagramm 49"/>
            <xdr:cNvGraphicFramePr/>
          </xdr:nvGraphicFramePr>
          <xdr:xfrm>
            <a:off x="8410575" y="11439526"/>
            <a:ext cx="4219575" cy="481965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sp macro="" textlink="">
          <xdr:nvSpPr>
            <xdr:cNvPr id="41" name="Textfeld 40"/>
            <xdr:cNvSpPr txBox="1"/>
          </xdr:nvSpPr>
          <xdr:spPr>
            <a:xfrm rot="21316366">
              <a:off x="10175099" y="12519287"/>
              <a:ext cx="459343" cy="15467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0" tIns="0" rIns="0" bIns="0" rtlCol="0" anchor="t"/>
            <a:lstStyle/>
            <a:p>
              <a:pPr marL="0" indent="0"/>
              <a:r>
                <a:rPr lang="de-DE" sz="9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30.12.08</a:t>
              </a:r>
            </a:p>
          </xdr:txBody>
        </xdr:sp>
        <xdr:sp macro="" textlink="">
          <xdr:nvSpPr>
            <xdr:cNvPr id="40" name="Textfeld 39"/>
            <xdr:cNvSpPr txBox="1"/>
          </xdr:nvSpPr>
          <xdr:spPr>
            <a:xfrm rot="20163860">
              <a:off x="9757795" y="12623714"/>
              <a:ext cx="393241" cy="16472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0" tIns="0" rIns="0" bIns="0" rtlCol="0" anchor="t"/>
            <a:lstStyle/>
            <a:p>
              <a:r>
                <a:rPr lang="de-DE" sz="900"/>
                <a:t> 11.1.08</a:t>
              </a:r>
            </a:p>
          </xdr:txBody>
        </xdr:sp>
        <xdr:sp macro="" textlink="">
          <xdr:nvSpPr>
            <xdr:cNvPr id="43" name="Textfeld 42"/>
            <xdr:cNvSpPr txBox="1"/>
          </xdr:nvSpPr>
          <xdr:spPr>
            <a:xfrm rot="1552171">
              <a:off x="9494713" y="13159841"/>
              <a:ext cx="340659" cy="17211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0" tIns="0" rIns="0" bIns="0" rtlCol="0" anchor="t"/>
            <a:lstStyle/>
            <a:p>
              <a:r>
                <a:rPr lang="de-DE" sz="1000"/>
                <a:t>7.2.</a:t>
              </a:r>
              <a:endParaRPr lang="de-DE" sz="1100"/>
            </a:p>
          </xdr:txBody>
        </xdr:sp>
        <xdr:sp macro="" textlink="">
          <xdr:nvSpPr>
            <xdr:cNvPr id="46" name="Textfeld 45"/>
            <xdr:cNvSpPr txBox="1"/>
          </xdr:nvSpPr>
          <xdr:spPr>
            <a:xfrm rot="1809472">
              <a:off x="9244097" y="13528925"/>
              <a:ext cx="293198" cy="171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0" tIns="0" rIns="0" bIns="0" rtlCol="0" anchor="t"/>
            <a:lstStyle/>
            <a:p>
              <a:r>
                <a:rPr lang="de-DE" sz="1000"/>
                <a:t>20.2</a:t>
              </a:r>
              <a:r>
                <a:rPr lang="de-DE" sz="1100"/>
                <a:t>.</a:t>
              </a:r>
            </a:p>
          </xdr:txBody>
        </xdr:sp>
        <xdr:sp macro="" textlink="">
          <xdr:nvSpPr>
            <xdr:cNvPr id="44" name="Textfeld 43"/>
            <xdr:cNvSpPr txBox="1"/>
          </xdr:nvSpPr>
          <xdr:spPr>
            <a:xfrm rot="2497989">
              <a:off x="11632848" y="14972873"/>
              <a:ext cx="253836" cy="1939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0" tIns="0" rIns="0" bIns="0" rtlCol="0" anchor="t"/>
            <a:lstStyle/>
            <a:p>
              <a:r>
                <a:rPr lang="de-DE" sz="9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16.8</a:t>
              </a:r>
              <a:r>
                <a:rPr lang="de-DE" sz="1100"/>
                <a:t>.</a:t>
              </a:r>
            </a:p>
          </xdr:txBody>
        </xdr:sp>
        <xdr:sp macro="" textlink="">
          <xdr:nvSpPr>
            <xdr:cNvPr id="45" name="Textfeld 44"/>
            <xdr:cNvSpPr txBox="1"/>
          </xdr:nvSpPr>
          <xdr:spPr>
            <a:xfrm rot="2694169">
              <a:off x="11396128" y="15285894"/>
              <a:ext cx="234559" cy="16192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0" tIns="0" rIns="0" bIns="0" rtlCol="0" anchor="t"/>
            <a:lstStyle/>
            <a:p>
              <a:r>
                <a:rPr lang="de-DE" sz="9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2.8</a:t>
              </a:r>
              <a:r>
                <a:rPr lang="de-DE" sz="1100"/>
                <a:t>.</a:t>
              </a:r>
            </a:p>
          </xdr:txBody>
        </xdr:sp>
        <xdr:sp macro="" textlink="">
          <xdr:nvSpPr>
            <xdr:cNvPr id="29" name="Text Box 91"/>
            <xdr:cNvSpPr txBox="1">
              <a:spLocks noChangeArrowheads="1"/>
            </xdr:cNvSpPr>
          </xdr:nvSpPr>
          <xdr:spPr bwMode="auto">
            <a:xfrm>
              <a:off x="10156764" y="14235105"/>
              <a:ext cx="409628" cy="1452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de-DE" sz="9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Sonne</a:t>
              </a:r>
            </a:p>
          </xdr:txBody>
        </xdr:sp>
      </xdr:grpSp>
      <xdr:sp macro="" textlink="">
        <xdr:nvSpPr>
          <xdr:cNvPr id="61" name="Textfeld 60"/>
          <xdr:cNvSpPr txBox="1"/>
        </xdr:nvSpPr>
        <xdr:spPr>
          <a:xfrm rot="18394374">
            <a:off x="8724347" y="13045667"/>
            <a:ext cx="809871" cy="330331"/>
          </a:xfrm>
          <a:prstGeom prst="rect">
            <a:avLst/>
          </a:prstGeom>
          <a:noFill/>
          <a:ln w="9525" cmpd="sng">
            <a:solidFill>
              <a:schemeClr val="accent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36000" tIns="0" rIns="0" bIns="0" rtlCol="0" anchor="t"/>
          <a:lstStyle/>
          <a:p>
            <a:pPr algn="ctr"/>
            <a:r>
              <a:rPr lang="de-DE" sz="1000"/>
              <a:t> 14.2.2008 </a:t>
            </a:r>
          </a:p>
          <a:p>
            <a:pPr algn="ctr"/>
            <a:r>
              <a:rPr lang="de-DE" sz="1000"/>
              <a:t> </a:t>
            </a:r>
            <a:r>
              <a:rPr lang="de-DE" sz="1000" i="1"/>
              <a:t>i  </a:t>
            </a:r>
            <a:r>
              <a:rPr lang="de-DE" sz="1000"/>
              <a:t>ist  maximal</a:t>
            </a:r>
          </a:p>
        </xdr:txBody>
      </xdr:sp>
      <xdr:sp macro="" textlink="">
        <xdr:nvSpPr>
          <xdr:cNvPr id="63" name="Textfeld 62"/>
          <xdr:cNvSpPr txBox="1"/>
        </xdr:nvSpPr>
        <xdr:spPr>
          <a:xfrm rot="1974520">
            <a:off x="9181138" y="15645584"/>
            <a:ext cx="809625" cy="30767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accent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36000" tIns="0" rIns="0" bIns="0" rtlCol="0" anchor="t"/>
          <a:lstStyle/>
          <a:p>
            <a:pPr algn="ctr"/>
            <a:r>
              <a:rPr lang="de-DE" sz="1000"/>
              <a:t>19.5.2008 </a:t>
            </a:r>
          </a:p>
          <a:p>
            <a:pPr algn="ctr"/>
            <a:r>
              <a:rPr lang="de-DE" sz="1000" i="1"/>
              <a:t> i  </a:t>
            </a:r>
            <a:r>
              <a:rPr lang="de-DE" sz="1000"/>
              <a:t>ist minimal</a:t>
            </a:r>
          </a:p>
        </xdr:txBody>
      </xdr:sp>
      <xdr:sp macro="" textlink="">
        <xdr:nvSpPr>
          <xdr:cNvPr id="64" name="Textfeld 63"/>
          <xdr:cNvSpPr txBox="1"/>
        </xdr:nvSpPr>
        <xdr:spPr>
          <a:xfrm rot="2963020">
            <a:off x="11654621" y="13005759"/>
            <a:ext cx="807692" cy="32752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accent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36000" tIns="0" rIns="0" bIns="0" rtlCol="0" anchor="t"/>
          <a:lstStyle/>
          <a:p>
            <a:pPr algn="ctr"/>
            <a:r>
              <a:rPr lang="de-DE" sz="1000"/>
              <a:t>30.10.2008</a:t>
            </a:r>
          </a:p>
          <a:p>
            <a:pPr algn="ctr"/>
            <a:r>
              <a:rPr lang="de-DE" sz="1000"/>
              <a:t>  </a:t>
            </a:r>
            <a:r>
              <a:rPr lang="de-DE" sz="1000" i="1"/>
              <a:t>i </a:t>
            </a:r>
            <a:r>
              <a:rPr lang="de-DE" sz="1000"/>
              <a:t> ist minimal</a:t>
            </a:r>
          </a:p>
        </xdr:txBody>
      </xdr:sp>
      <xdr:sp macro="" textlink="">
        <xdr:nvSpPr>
          <xdr:cNvPr id="65" name="Textfeld 64"/>
          <xdr:cNvSpPr txBox="1"/>
        </xdr:nvSpPr>
        <xdr:spPr>
          <a:xfrm rot="2427707">
            <a:off x="11703372" y="15524632"/>
            <a:ext cx="771524" cy="328122"/>
          </a:xfrm>
          <a:prstGeom prst="rect">
            <a:avLst/>
          </a:prstGeom>
          <a:noFill/>
          <a:ln w="9525" cmpd="sng">
            <a:solidFill>
              <a:schemeClr val="accent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36000" tIns="0" rIns="0" bIns="0" rtlCol="0" anchor="t"/>
          <a:lstStyle/>
          <a:p>
            <a:pPr algn="l"/>
            <a:r>
              <a:rPr lang="de-DE" sz="1000"/>
              <a:t> 9.8. 2008</a:t>
            </a:r>
          </a:p>
          <a:p>
            <a:pPr algn="ctr"/>
            <a:r>
              <a:rPr lang="de-DE" sz="1000"/>
              <a:t> </a:t>
            </a:r>
            <a:r>
              <a:rPr lang="de-DE" sz="1000" i="1"/>
              <a:t>i </a:t>
            </a:r>
            <a:r>
              <a:rPr lang="de-DE" sz="1000"/>
              <a:t> ist maximal</a:t>
            </a:r>
          </a:p>
        </xdr:txBody>
      </xdr:sp>
    </xdr:grpSp>
    <xdr:clientData/>
  </xdr:twoCellAnchor>
  <xdr:twoCellAnchor>
    <xdr:from>
      <xdr:col>0</xdr:col>
      <xdr:colOff>219075</xdr:colOff>
      <xdr:row>69</xdr:row>
      <xdr:rowOff>104775</xdr:rowOff>
    </xdr:from>
    <xdr:to>
      <xdr:col>11</xdr:col>
      <xdr:colOff>323850</xdr:colOff>
      <xdr:row>90</xdr:row>
      <xdr:rowOff>133350</xdr:rowOff>
    </xdr:to>
    <xdr:grpSp>
      <xdr:nvGrpSpPr>
        <xdr:cNvPr id="68" name="Gruppieren 67"/>
        <xdr:cNvGrpSpPr/>
      </xdr:nvGrpSpPr>
      <xdr:grpSpPr>
        <a:xfrm>
          <a:off x="219075" y="11639550"/>
          <a:ext cx="5276850" cy="3467100"/>
          <a:chOff x="4265439" y="11572874"/>
          <a:chExt cx="3974615" cy="3067051"/>
        </a:xfrm>
      </xdr:grpSpPr>
      <xdr:graphicFrame macro="">
        <xdr:nvGraphicFramePr>
          <xdr:cNvPr id="74" name="Chart 27"/>
          <xdr:cNvGraphicFramePr>
            <a:graphicFrameLocks/>
          </xdr:cNvGraphicFramePr>
        </xdr:nvGraphicFramePr>
        <xdr:xfrm>
          <a:off x="4265439" y="11572874"/>
          <a:ext cx="3974615" cy="306705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cxnSp macro="">
        <xdr:nvCxnSpPr>
          <xdr:cNvPr id="72" name="Gerade Verbindung mit Pfeil 71"/>
          <xdr:cNvCxnSpPr/>
        </xdr:nvCxnSpPr>
        <xdr:spPr bwMode="auto">
          <a:xfrm flipH="1" flipV="1">
            <a:off x="4546764" y="12348063"/>
            <a:ext cx="7214" cy="1356585"/>
          </a:xfrm>
          <a:prstGeom prst="straightConnector1">
            <a:avLst/>
          </a:prstGeom>
          <a:solidFill>
            <a:srgbClr val="FFFFFF"/>
          </a:solidFill>
          <a:ln w="19050" cap="flat" cmpd="sng" algn="ctr">
            <a:solidFill>
              <a:srgbClr val="C00000"/>
            </a:solidFill>
            <a:prstDash val="solid"/>
            <a:round/>
            <a:headEnd type="arrow" w="med" len="med"/>
            <a:tailEnd type="arrow" w="med" len="med"/>
          </a:ln>
          <a:effectLst/>
        </xdr:spPr>
      </xdr:cxnSp>
      <xdr:sp macro="" textlink="">
        <xdr:nvSpPr>
          <xdr:cNvPr id="73" name="Textfeld 72"/>
          <xdr:cNvSpPr txBox="1"/>
        </xdr:nvSpPr>
        <xdr:spPr>
          <a:xfrm>
            <a:off x="4386002" y="12752509"/>
            <a:ext cx="247325" cy="48028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t"/>
          <a:lstStyle/>
          <a:p>
            <a:pPr algn="ctr"/>
            <a:r>
              <a:rPr lang="de-DE" sz="1100" b="1">
                <a:solidFill>
                  <a:srgbClr val="FF0000"/>
                </a:solidFill>
              </a:rPr>
              <a:t>19,5°   pro Jahr</a:t>
            </a:r>
          </a:p>
        </xdr:txBody>
      </xdr:sp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0.91744</cdr:x>
      <cdr:y>0.12469</cdr:y>
    </cdr:from>
    <cdr:to>
      <cdr:x>0.91894</cdr:x>
      <cdr:y>0.90398</cdr:y>
    </cdr:to>
    <cdr:cxnSp macro="">
      <cdr:nvCxnSpPr>
        <cdr:cNvPr id="3" name="Gerade Verbindung mit Pfeil 2"/>
        <cdr:cNvCxnSpPr/>
      </cdr:nvCxnSpPr>
      <cdr:spPr bwMode="auto">
        <a:xfrm xmlns:a="http://schemas.openxmlformats.org/drawingml/2006/main" flipH="1" flipV="1">
          <a:off x="5330529" y="507136"/>
          <a:ext cx="8715" cy="3169509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19050" cap="flat" cmpd="sng" algn="ctr">
          <a:solidFill>
            <a:srgbClr val="C00000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0.91203</cdr:x>
      <cdr:y>0.12412</cdr:y>
    </cdr:from>
    <cdr:to>
      <cdr:x>0.97969</cdr:x>
      <cdr:y>0.86417</cdr:y>
    </cdr:to>
    <cdr:sp macro="" textlink="">
      <cdr:nvSpPr>
        <cdr:cNvPr id="6" name="Textfeld 5"/>
        <cdr:cNvSpPr txBox="1"/>
      </cdr:nvSpPr>
      <cdr:spPr>
        <a:xfrm xmlns:a="http://schemas.openxmlformats.org/drawingml/2006/main">
          <a:off x="5299107" y="504810"/>
          <a:ext cx="393122" cy="3009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de-DE" sz="1200" b="1" i="1"/>
            <a:t>   </a:t>
          </a:r>
          <a:r>
            <a:rPr lang="de-DE" sz="1200" b="1" i="1">
              <a:solidFill>
                <a:srgbClr val="FF0000"/>
              </a:solidFill>
            </a:rPr>
            <a:t>i</a:t>
          </a:r>
          <a:r>
            <a:rPr lang="de-DE" sz="1200" b="1">
              <a:solidFill>
                <a:srgbClr val="FF0000"/>
              </a:solidFill>
            </a:rPr>
            <a:t> (°)</a:t>
          </a:r>
        </a:p>
        <a:p xmlns:a="http://schemas.openxmlformats.org/drawingml/2006/main">
          <a:r>
            <a:rPr lang="de-DE" sz="1200" b="1">
              <a:solidFill>
                <a:srgbClr val="FF0000"/>
              </a:solidFill>
            </a:rPr>
            <a:t>- </a:t>
          </a:r>
          <a:r>
            <a:rPr lang="de-DE" sz="1200">
              <a:solidFill>
                <a:srgbClr val="FF0000"/>
              </a:solidFill>
            </a:rPr>
            <a:t>5,35</a:t>
          </a:r>
        </a:p>
        <a:p xmlns:a="http://schemas.openxmlformats.org/drawingml/2006/main">
          <a:endParaRPr lang="de-DE" sz="1200">
            <a:solidFill>
              <a:srgbClr val="FF0000"/>
            </a:solidFill>
          </a:endParaRPr>
        </a:p>
        <a:p xmlns:a="http://schemas.openxmlformats.org/drawingml/2006/main">
          <a:r>
            <a:rPr lang="de-DE" sz="1200" b="1">
              <a:solidFill>
                <a:srgbClr val="FF0000"/>
              </a:solidFill>
            </a:rPr>
            <a:t>- </a:t>
          </a:r>
          <a:r>
            <a:rPr lang="de-DE" sz="1200">
              <a:solidFill>
                <a:srgbClr val="FF0000"/>
              </a:solidFill>
            </a:rPr>
            <a:t>5,30</a:t>
          </a:r>
        </a:p>
        <a:p xmlns:a="http://schemas.openxmlformats.org/drawingml/2006/main">
          <a:endParaRPr lang="de-DE" sz="1200">
            <a:solidFill>
              <a:srgbClr val="FF0000"/>
            </a:solidFill>
          </a:endParaRPr>
        </a:p>
        <a:p xmlns:a="http://schemas.openxmlformats.org/drawingml/2006/main">
          <a:r>
            <a:rPr lang="de-DE" sz="1100" b="1">
              <a:solidFill>
                <a:srgbClr val="FF0000"/>
              </a:solidFill>
            </a:rPr>
            <a:t>- </a:t>
          </a:r>
          <a:r>
            <a:rPr lang="de-DE" sz="1100">
              <a:solidFill>
                <a:srgbClr val="FF0000"/>
              </a:solidFill>
            </a:rPr>
            <a:t>5,25</a:t>
          </a:r>
        </a:p>
        <a:p xmlns:a="http://schemas.openxmlformats.org/drawingml/2006/main">
          <a:endParaRPr lang="de-DE" sz="1100">
            <a:solidFill>
              <a:srgbClr val="FF0000"/>
            </a:solidFill>
          </a:endParaRPr>
        </a:p>
        <a:p xmlns:a="http://schemas.openxmlformats.org/drawingml/2006/main">
          <a:r>
            <a:rPr lang="de-DE" sz="1100" b="1">
              <a:solidFill>
                <a:srgbClr val="FF0000"/>
              </a:solidFill>
            </a:rPr>
            <a:t>- </a:t>
          </a:r>
          <a:r>
            <a:rPr lang="de-DE" sz="1100">
              <a:solidFill>
                <a:srgbClr val="FF0000"/>
              </a:solidFill>
            </a:rPr>
            <a:t>5,20</a:t>
          </a:r>
        </a:p>
        <a:p xmlns:a="http://schemas.openxmlformats.org/drawingml/2006/main">
          <a:endParaRPr lang="de-DE" sz="1100">
            <a:solidFill>
              <a:srgbClr val="FF0000"/>
            </a:solidFill>
          </a:endParaRPr>
        </a:p>
        <a:p xmlns:a="http://schemas.openxmlformats.org/drawingml/2006/main">
          <a:r>
            <a:rPr lang="de-DE" sz="1100" b="1">
              <a:solidFill>
                <a:srgbClr val="FF0000"/>
              </a:solidFill>
            </a:rPr>
            <a:t>- </a:t>
          </a:r>
          <a:r>
            <a:rPr lang="de-DE" sz="1100">
              <a:solidFill>
                <a:srgbClr val="FF0000"/>
              </a:solidFill>
            </a:rPr>
            <a:t>5,15</a:t>
          </a:r>
        </a:p>
        <a:p xmlns:a="http://schemas.openxmlformats.org/drawingml/2006/main">
          <a:endParaRPr lang="de-DE" sz="1100">
            <a:solidFill>
              <a:srgbClr val="FF0000"/>
            </a:solidFill>
          </a:endParaRPr>
        </a:p>
        <a:p xmlns:a="http://schemas.openxmlformats.org/drawingml/2006/main">
          <a:r>
            <a:rPr lang="de-DE" sz="1100" b="1">
              <a:solidFill>
                <a:srgbClr val="FF0000"/>
              </a:solidFill>
            </a:rPr>
            <a:t>- </a:t>
          </a:r>
          <a:r>
            <a:rPr lang="de-DE" sz="1100">
              <a:solidFill>
                <a:srgbClr val="FF0000"/>
              </a:solidFill>
            </a:rPr>
            <a:t>5,10</a:t>
          </a:r>
        </a:p>
        <a:p xmlns:a="http://schemas.openxmlformats.org/drawingml/2006/main">
          <a:endParaRPr lang="de-DE" sz="1100">
            <a:solidFill>
              <a:srgbClr val="FF0000"/>
            </a:solidFill>
          </a:endParaRPr>
        </a:p>
        <a:p xmlns:a="http://schemas.openxmlformats.org/drawingml/2006/main">
          <a:r>
            <a:rPr lang="de-DE" sz="1100" b="1">
              <a:solidFill>
                <a:srgbClr val="FF0000"/>
              </a:solidFill>
            </a:rPr>
            <a:t>-</a:t>
          </a:r>
          <a:r>
            <a:rPr lang="de-DE" sz="1100">
              <a:solidFill>
                <a:srgbClr val="FF0000"/>
              </a:solidFill>
            </a:rPr>
            <a:t> 5,05</a:t>
          </a:r>
        </a:p>
        <a:p xmlns:a="http://schemas.openxmlformats.org/drawingml/2006/main">
          <a:endParaRPr lang="de-DE" sz="1100">
            <a:solidFill>
              <a:srgbClr val="FF0000"/>
            </a:solidFill>
          </a:endParaRPr>
        </a:p>
        <a:p xmlns:a="http://schemas.openxmlformats.org/drawingml/2006/main">
          <a:r>
            <a:rPr lang="de-DE" sz="1100" b="1">
              <a:solidFill>
                <a:srgbClr val="FF0000"/>
              </a:solidFill>
            </a:rPr>
            <a:t>- </a:t>
          </a:r>
          <a:r>
            <a:rPr lang="de-DE" sz="1100">
              <a:solidFill>
                <a:srgbClr val="FF0000"/>
              </a:solidFill>
            </a:rPr>
            <a:t>5,00</a:t>
          </a:r>
        </a:p>
        <a:p xmlns:a="http://schemas.openxmlformats.org/drawingml/2006/main">
          <a:endParaRPr lang="de-DE" sz="1100"/>
        </a:p>
        <a:p xmlns:a="http://schemas.openxmlformats.org/drawingml/2006/main">
          <a:endParaRPr lang="de-DE" sz="1100"/>
        </a:p>
        <a:p xmlns:a="http://schemas.openxmlformats.org/drawingml/2006/main">
          <a:endParaRPr lang="de-DE" sz="1100"/>
        </a:p>
        <a:p xmlns:a="http://schemas.openxmlformats.org/drawingml/2006/main">
          <a:endParaRPr lang="de-DE" sz="1200"/>
        </a:p>
        <a:p xmlns:a="http://schemas.openxmlformats.org/drawingml/2006/main">
          <a:endParaRPr lang="de-DE" sz="12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0.59305</cdr:x>
      <cdr:y>0.50182</cdr:y>
    </cdr:from>
    <cdr:to>
      <cdr:x>0.63348</cdr:x>
      <cdr:y>0.55273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2514600" y="2628924"/>
          <a:ext cx="171438" cy="266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l-GR" sz="1200" b="1">
              <a:solidFill>
                <a:srgbClr val="FF0000"/>
              </a:solidFill>
              <a:latin typeface="Times New Roman"/>
              <a:cs typeface="Times New Roman"/>
            </a:rPr>
            <a:t>λ</a:t>
          </a:r>
          <a:endParaRPr lang="de-DE" sz="12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0.84963</cdr:x>
      <cdr:y>0.51823</cdr:y>
    </cdr:from>
    <cdr:to>
      <cdr:x>0.96869</cdr:x>
      <cdr:y>0.55278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3738852" y="2719796"/>
          <a:ext cx="523930" cy="181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de-DE" sz="1100"/>
            <a:t>11.1.08</a:t>
          </a:r>
        </a:p>
      </cdr:txBody>
    </cdr:sp>
  </cdr:relSizeAnchor>
  <cdr:relSizeAnchor xmlns:cdr="http://schemas.openxmlformats.org/drawingml/2006/chartDrawing">
    <cdr:from>
      <cdr:x>0.69489</cdr:x>
      <cdr:y>0.69516</cdr:y>
    </cdr:from>
    <cdr:to>
      <cdr:x>0.83118</cdr:x>
      <cdr:y>0.7291</cdr:y>
    </cdr:to>
    <cdr:sp macro="" textlink="">
      <cdr:nvSpPr>
        <cdr:cNvPr id="4" name="Textfeld 1"/>
        <cdr:cNvSpPr txBox="1"/>
      </cdr:nvSpPr>
      <cdr:spPr>
        <a:xfrm xmlns:a="http://schemas.openxmlformats.org/drawingml/2006/main">
          <a:off x="3057898" y="3648367"/>
          <a:ext cx="599751" cy="178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/>
            <a:t>30.12.08</a:t>
          </a:r>
        </a:p>
      </cdr:txBody>
    </cdr:sp>
  </cdr:relSizeAnchor>
  <cdr:relSizeAnchor xmlns:cdr="http://schemas.openxmlformats.org/drawingml/2006/chartDrawing">
    <cdr:from>
      <cdr:x>0.46825</cdr:x>
      <cdr:y>0.78244</cdr:y>
    </cdr:from>
    <cdr:to>
      <cdr:x>0.58874</cdr:x>
      <cdr:y>0.81851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2060542" y="4106437"/>
          <a:ext cx="530258" cy="189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/>
            <a:t>18.12.09</a:t>
          </a:r>
        </a:p>
      </cdr:txBody>
    </cdr:sp>
  </cdr:relSizeAnchor>
  <cdr:relSizeAnchor xmlns:cdr="http://schemas.openxmlformats.org/drawingml/2006/chartDrawing">
    <cdr:from>
      <cdr:x>0.68645</cdr:x>
      <cdr:y>0.47272</cdr:y>
    </cdr:from>
    <cdr:to>
      <cdr:x>0.70313</cdr:x>
      <cdr:y>0.49454</cdr:y>
    </cdr:to>
    <cdr:cxnSp macro="">
      <cdr:nvCxnSpPr>
        <cdr:cNvPr id="8" name="Gerade Verbindung mit Pfeil 7"/>
        <cdr:cNvCxnSpPr/>
      </cdr:nvCxnSpPr>
      <cdr:spPr bwMode="auto">
        <a:xfrm xmlns:a="http://schemas.openxmlformats.org/drawingml/2006/main" flipV="1">
          <a:off x="2910597" y="2476486"/>
          <a:ext cx="70725" cy="114310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25400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</cdr:spPr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114301</xdr:rowOff>
    </xdr:from>
    <xdr:to>
      <xdr:col>12</xdr:col>
      <xdr:colOff>581025</xdr:colOff>
      <xdr:row>24</xdr:row>
      <xdr:rowOff>95251</xdr:rowOff>
    </xdr:to>
    <xdr:grpSp>
      <xdr:nvGrpSpPr>
        <xdr:cNvPr id="15" name="Gruppieren 14"/>
        <xdr:cNvGrpSpPr/>
      </xdr:nvGrpSpPr>
      <xdr:grpSpPr>
        <a:xfrm>
          <a:off x="2867025" y="1133476"/>
          <a:ext cx="4667250" cy="3038475"/>
          <a:chOff x="2057400" y="638176"/>
          <a:chExt cx="4467225" cy="2981324"/>
        </a:xfrm>
      </xdr:grpSpPr>
      <xdr:graphicFrame macro="">
        <xdr:nvGraphicFramePr>
          <xdr:cNvPr id="165944" name="Chart 2"/>
          <xdr:cNvGraphicFramePr>
            <a:graphicFrameLocks/>
          </xdr:cNvGraphicFramePr>
        </xdr:nvGraphicFramePr>
        <xdr:xfrm>
          <a:off x="2057400" y="638176"/>
          <a:ext cx="4467225" cy="298132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65891" name="Text Box 3"/>
          <xdr:cNvSpPr txBox="1">
            <a:spLocks noChangeArrowheads="1"/>
          </xdr:cNvSpPr>
        </xdr:nvSpPr>
        <xdr:spPr bwMode="auto">
          <a:xfrm>
            <a:off x="2820366" y="1264903"/>
            <a:ext cx="314325" cy="187252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DE" sz="900" b="1" i="0" strike="noStrike">
                <a:solidFill>
                  <a:srgbClr val="000000"/>
                </a:solidFill>
                <a:latin typeface="Arial"/>
                <a:cs typeface="Arial"/>
              </a:rPr>
              <a:t>14.2</a:t>
            </a:r>
            <a:r>
              <a:rPr lang="de-DE" sz="800" b="1" i="0" strike="noStrike">
                <a:solidFill>
                  <a:srgbClr val="000000"/>
                </a:solidFill>
                <a:latin typeface="Arial"/>
                <a:cs typeface="Arial"/>
              </a:rPr>
              <a:t>.</a:t>
            </a:r>
          </a:p>
        </xdr:txBody>
      </xdr:sp>
      <xdr:sp macro="" textlink="">
        <xdr:nvSpPr>
          <xdr:cNvPr id="165892" name="Text Box 4"/>
          <xdr:cNvSpPr txBox="1">
            <a:spLocks noChangeArrowheads="1"/>
          </xdr:cNvSpPr>
        </xdr:nvSpPr>
        <xdr:spPr bwMode="auto">
          <a:xfrm rot="10800000" flipV="1">
            <a:off x="3774947" y="2971258"/>
            <a:ext cx="276446" cy="148085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DE" sz="900" b="1" i="0" strike="noStrike">
                <a:solidFill>
                  <a:srgbClr val="000000"/>
                </a:solidFill>
                <a:latin typeface="Arial"/>
                <a:cs typeface="Arial"/>
              </a:rPr>
              <a:t>19.5.</a:t>
            </a:r>
          </a:p>
        </xdr:txBody>
      </xdr:sp>
      <xdr:sp macro="" textlink="">
        <xdr:nvSpPr>
          <xdr:cNvPr id="165893" name="Text Box 5"/>
          <xdr:cNvSpPr txBox="1">
            <a:spLocks noChangeArrowheads="1"/>
          </xdr:cNvSpPr>
        </xdr:nvSpPr>
        <xdr:spPr bwMode="auto">
          <a:xfrm>
            <a:off x="4519539" y="1275630"/>
            <a:ext cx="250716" cy="156912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DE" sz="900" b="1" i="0" strike="noStrike">
                <a:solidFill>
                  <a:srgbClr val="000000"/>
                </a:solidFill>
                <a:latin typeface="Arial"/>
                <a:cs typeface="Arial"/>
              </a:rPr>
              <a:t>9.8.</a:t>
            </a:r>
          </a:p>
        </xdr:txBody>
      </xdr:sp>
      <xdr:sp macro="" textlink="">
        <xdr:nvSpPr>
          <xdr:cNvPr id="165894" name="Text Box 6"/>
          <xdr:cNvSpPr txBox="1">
            <a:spLocks noChangeArrowheads="1"/>
          </xdr:cNvSpPr>
        </xdr:nvSpPr>
        <xdr:spPr bwMode="auto">
          <a:xfrm rot="10800000" flipV="1">
            <a:off x="5209736" y="2973646"/>
            <a:ext cx="322172" cy="16531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DE" sz="900" b="1" i="0" strike="noStrike">
                <a:solidFill>
                  <a:srgbClr val="000000"/>
                </a:solidFill>
                <a:latin typeface="Arial"/>
                <a:cs typeface="Arial"/>
              </a:rPr>
              <a:t>30.10.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304800</xdr:colOff>
      <xdr:row>0</xdr:row>
      <xdr:rowOff>0</xdr:rowOff>
    </xdr:from>
    <xdr:to>
      <xdr:col>12</xdr:col>
      <xdr:colOff>76200</xdr:colOff>
      <xdr:row>1</xdr:row>
      <xdr:rowOff>9525</xdr:rowOff>
    </xdr:to>
    <xdr:sp macro="" textlink="">
      <xdr:nvSpPr>
        <xdr:cNvPr id="43223" name="Text Box 1073"/>
        <xdr:cNvSpPr txBox="1">
          <a:spLocks noChangeArrowheads="1"/>
        </xdr:cNvSpPr>
      </xdr:nvSpPr>
      <xdr:spPr bwMode="auto">
        <a:xfrm>
          <a:off x="521970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104775</xdr:colOff>
      <xdr:row>72</xdr:row>
      <xdr:rowOff>95249</xdr:rowOff>
    </xdr:from>
    <xdr:to>
      <xdr:col>14</xdr:col>
      <xdr:colOff>142875</xdr:colOff>
      <xdr:row>111</xdr:row>
      <xdr:rowOff>0</xdr:rowOff>
    </xdr:to>
    <xdr:grpSp>
      <xdr:nvGrpSpPr>
        <xdr:cNvPr id="27" name="Gruppieren 26"/>
        <xdr:cNvGrpSpPr/>
      </xdr:nvGrpSpPr>
      <xdr:grpSpPr>
        <a:xfrm>
          <a:off x="104775" y="11953874"/>
          <a:ext cx="5791200" cy="6286501"/>
          <a:chOff x="4533900" y="6496049"/>
          <a:chExt cx="5191125" cy="5667375"/>
        </a:xfrm>
      </xdr:grpSpPr>
      <xdr:graphicFrame macro="">
        <xdr:nvGraphicFramePr>
          <xdr:cNvPr id="13" name="Diagramm 12"/>
          <xdr:cNvGraphicFramePr/>
        </xdr:nvGraphicFramePr>
        <xdr:xfrm>
          <a:off x="4533900" y="6496049"/>
          <a:ext cx="5191125" cy="56673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29" name="Freihandform 28"/>
          <xdr:cNvSpPr/>
        </xdr:nvSpPr>
        <xdr:spPr bwMode="auto">
          <a:xfrm>
            <a:off x="5211898" y="9030927"/>
            <a:ext cx="47625" cy="285750"/>
          </a:xfrm>
          <a:custGeom>
            <a:avLst/>
            <a:gdLst>
              <a:gd name="connsiteX0" fmla="*/ 47625 w 47625"/>
              <a:gd name="connsiteY0" fmla="*/ 0 h 285750"/>
              <a:gd name="connsiteX1" fmla="*/ 19050 w 47625"/>
              <a:gd name="connsiteY1" fmla="*/ 85725 h 285750"/>
              <a:gd name="connsiteX2" fmla="*/ 9525 w 47625"/>
              <a:gd name="connsiteY2" fmla="*/ 171450 h 285750"/>
              <a:gd name="connsiteX3" fmla="*/ 0 w 47625"/>
              <a:gd name="connsiteY3" fmla="*/ 285750 h 2857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7625" h="285750">
                <a:moveTo>
                  <a:pt x="47625" y="0"/>
                </a:moveTo>
                <a:cubicBezTo>
                  <a:pt x="36512" y="28575"/>
                  <a:pt x="25400" y="57150"/>
                  <a:pt x="19050" y="85725"/>
                </a:cubicBezTo>
                <a:cubicBezTo>
                  <a:pt x="12700" y="114300"/>
                  <a:pt x="12700" y="138113"/>
                  <a:pt x="9525" y="171450"/>
                </a:cubicBezTo>
                <a:cubicBezTo>
                  <a:pt x="6350" y="204787"/>
                  <a:pt x="3175" y="245268"/>
                  <a:pt x="0" y="285750"/>
                </a:cubicBezTo>
              </a:path>
            </a:pathLst>
          </a:custGeom>
          <a:solidFill>
            <a:srgbClr val="FFFFFF"/>
          </a:solidFill>
          <a:ln w="19050" cap="flat" cmpd="sng" algn="ctr">
            <a:solidFill>
              <a:srgbClr val="C00000"/>
            </a:solidFill>
            <a:prstDash val="solid"/>
            <a:round/>
            <a:headEnd type="none" w="med" len="med"/>
            <a:tailEnd type="arrow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de-DE" sz="1100"/>
          </a:p>
        </xdr:txBody>
      </xdr:sp>
      <xdr:sp macro="" textlink="">
        <xdr:nvSpPr>
          <xdr:cNvPr id="30" name="Freihandform 29"/>
          <xdr:cNvSpPr/>
        </xdr:nvSpPr>
        <xdr:spPr bwMode="auto">
          <a:xfrm>
            <a:off x="6575812" y="11325946"/>
            <a:ext cx="314325" cy="57150"/>
          </a:xfrm>
          <a:custGeom>
            <a:avLst/>
            <a:gdLst>
              <a:gd name="connsiteX0" fmla="*/ 0 w 314325"/>
              <a:gd name="connsiteY0" fmla="*/ 0 h 57150"/>
              <a:gd name="connsiteX1" fmla="*/ 114300 w 314325"/>
              <a:gd name="connsiteY1" fmla="*/ 28575 h 57150"/>
              <a:gd name="connsiteX2" fmla="*/ 209550 w 314325"/>
              <a:gd name="connsiteY2" fmla="*/ 47625 h 57150"/>
              <a:gd name="connsiteX3" fmla="*/ 314325 w 314325"/>
              <a:gd name="connsiteY3" fmla="*/ 57150 h 571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314325" h="57150">
                <a:moveTo>
                  <a:pt x="0" y="0"/>
                </a:moveTo>
                <a:cubicBezTo>
                  <a:pt x="39687" y="10319"/>
                  <a:pt x="79375" y="20638"/>
                  <a:pt x="114300" y="28575"/>
                </a:cubicBezTo>
                <a:cubicBezTo>
                  <a:pt x="149225" y="36512"/>
                  <a:pt x="176213" y="42863"/>
                  <a:pt x="209550" y="47625"/>
                </a:cubicBezTo>
                <a:cubicBezTo>
                  <a:pt x="242887" y="52387"/>
                  <a:pt x="278606" y="54768"/>
                  <a:pt x="314325" y="57150"/>
                </a:cubicBezTo>
              </a:path>
            </a:pathLst>
          </a:custGeom>
          <a:solidFill>
            <a:srgbClr val="FFFFFF"/>
          </a:solidFill>
          <a:ln w="19050" cap="flat" cmpd="sng" algn="ctr">
            <a:solidFill>
              <a:schemeClr val="tx2"/>
            </a:solidFill>
            <a:prstDash val="solid"/>
            <a:round/>
            <a:headEnd type="none" w="med" len="med"/>
            <a:tailEnd type="arrow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de-DE" sz="1100"/>
          </a:p>
        </xdr:txBody>
      </xdr:sp>
      <xdr:sp macro="" textlink="">
        <xdr:nvSpPr>
          <xdr:cNvPr id="31" name="Freihandform 30"/>
          <xdr:cNvSpPr/>
        </xdr:nvSpPr>
        <xdr:spPr bwMode="auto">
          <a:xfrm>
            <a:off x="7735663" y="9149411"/>
            <a:ext cx="76842" cy="566738"/>
          </a:xfrm>
          <a:custGeom>
            <a:avLst/>
            <a:gdLst>
              <a:gd name="connsiteX0" fmla="*/ 38100 w 88900"/>
              <a:gd name="connsiteY0" fmla="*/ 561975 h 561975"/>
              <a:gd name="connsiteX1" fmla="*/ 76200 w 88900"/>
              <a:gd name="connsiteY1" fmla="*/ 419100 h 561975"/>
              <a:gd name="connsiteX2" fmla="*/ 85725 w 88900"/>
              <a:gd name="connsiteY2" fmla="*/ 276225 h 561975"/>
              <a:gd name="connsiteX3" fmla="*/ 57150 w 88900"/>
              <a:gd name="connsiteY3" fmla="*/ 104775 h 561975"/>
              <a:gd name="connsiteX4" fmla="*/ 0 w 88900"/>
              <a:gd name="connsiteY4" fmla="*/ 0 h 5619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88900" h="561975">
                <a:moveTo>
                  <a:pt x="38100" y="561975"/>
                </a:moveTo>
                <a:cubicBezTo>
                  <a:pt x="53181" y="514350"/>
                  <a:pt x="68263" y="466725"/>
                  <a:pt x="76200" y="419100"/>
                </a:cubicBezTo>
                <a:cubicBezTo>
                  <a:pt x="84137" y="371475"/>
                  <a:pt x="88900" y="328612"/>
                  <a:pt x="85725" y="276225"/>
                </a:cubicBezTo>
                <a:cubicBezTo>
                  <a:pt x="82550" y="223838"/>
                  <a:pt x="71437" y="150812"/>
                  <a:pt x="57150" y="104775"/>
                </a:cubicBezTo>
                <a:cubicBezTo>
                  <a:pt x="42863" y="58738"/>
                  <a:pt x="21431" y="29369"/>
                  <a:pt x="0" y="0"/>
                </a:cubicBezTo>
              </a:path>
            </a:pathLst>
          </a:custGeom>
          <a:solidFill>
            <a:srgbClr val="FFFFFF"/>
          </a:solidFill>
          <a:ln w="28575" cap="flat" cmpd="sng" algn="ctr">
            <a:solidFill>
              <a:schemeClr val="tx1"/>
            </a:solidFill>
            <a:prstDash val="solid"/>
            <a:round/>
            <a:headEnd type="none" w="med" len="med"/>
            <a:tailEnd type="arrow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de-DE" sz="1100"/>
          </a:p>
        </xdr:txBody>
      </xdr:sp>
    </xdr:grpSp>
    <xdr:clientData/>
  </xdr:twoCellAnchor>
  <xdr:twoCellAnchor>
    <xdr:from>
      <xdr:col>20</xdr:col>
      <xdr:colOff>190499</xdr:colOff>
      <xdr:row>2</xdr:row>
      <xdr:rowOff>123824</xdr:rowOff>
    </xdr:from>
    <xdr:to>
      <xdr:col>27</xdr:col>
      <xdr:colOff>438150</xdr:colOff>
      <xdr:row>43</xdr:row>
      <xdr:rowOff>76199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388963</xdr:colOff>
      <xdr:row>75</xdr:row>
      <xdr:rowOff>5560</xdr:rowOff>
    </xdr:from>
    <xdr:to>
      <xdr:col>4</xdr:col>
      <xdr:colOff>170650</xdr:colOff>
      <xdr:row>76</xdr:row>
      <xdr:rowOff>15716</xdr:rowOff>
    </xdr:to>
    <xdr:sp macro="" textlink="">
      <xdr:nvSpPr>
        <xdr:cNvPr id="50" name="Textfeld 4"/>
        <xdr:cNvSpPr txBox="1"/>
      </xdr:nvSpPr>
      <xdr:spPr>
        <a:xfrm>
          <a:off x="1912963" y="12254710"/>
          <a:ext cx="229362" cy="172081"/>
        </a:xfrm>
        <a:prstGeom prst="rect">
          <a:avLst/>
        </a:prstGeom>
        <a:solidFill>
          <a:schemeClr val="lt1"/>
        </a:solidFill>
        <a:ln w="9525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36000" tIns="0" rIns="0" bIns="0" rtlCol="0" anchor="t"/>
        <a:lstStyle/>
        <a:p>
          <a:r>
            <a:rPr lang="de-DE" sz="1200" b="1">
              <a:solidFill>
                <a:schemeClr val="tx2"/>
              </a:solidFill>
            </a:rPr>
            <a:t>A</a:t>
          </a:r>
          <a:r>
            <a:rPr lang="de-DE" sz="900" b="1">
              <a:solidFill>
                <a:schemeClr val="tx2"/>
              </a:solidFill>
            </a:rPr>
            <a:t>1</a:t>
          </a:r>
        </a:p>
      </xdr:txBody>
    </xdr:sp>
    <xdr:clientData/>
  </xdr:twoCellAnchor>
  <xdr:twoCellAnchor>
    <xdr:from>
      <xdr:col>17</xdr:col>
      <xdr:colOff>266701</xdr:colOff>
      <xdr:row>8</xdr:row>
      <xdr:rowOff>57151</xdr:rowOff>
    </xdr:from>
    <xdr:to>
      <xdr:col>26</xdr:col>
      <xdr:colOff>276226</xdr:colOff>
      <xdr:row>46</xdr:row>
      <xdr:rowOff>19051</xdr:rowOff>
    </xdr:to>
    <xdr:graphicFrame macro="">
      <xdr:nvGraphicFramePr>
        <xdr:cNvPr id="72" name="Diagramm 7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142875</xdr:colOff>
      <xdr:row>75</xdr:row>
      <xdr:rowOff>5560</xdr:rowOff>
    </xdr:from>
    <xdr:to>
      <xdr:col>2</xdr:col>
      <xdr:colOff>372237</xdr:colOff>
      <xdr:row>76</xdr:row>
      <xdr:rowOff>15716</xdr:rowOff>
    </xdr:to>
    <xdr:sp macro="" textlink="">
      <xdr:nvSpPr>
        <xdr:cNvPr id="23" name="Textfeld 4"/>
        <xdr:cNvSpPr txBox="1"/>
      </xdr:nvSpPr>
      <xdr:spPr>
        <a:xfrm>
          <a:off x="1219200" y="12254710"/>
          <a:ext cx="229362" cy="172081"/>
        </a:xfrm>
        <a:prstGeom prst="rect">
          <a:avLst/>
        </a:prstGeom>
        <a:solidFill>
          <a:schemeClr val="lt1"/>
        </a:solidFill>
        <a:ln w="9525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36000" tIns="0" rIns="0" bIns="0" rtlCol="0" anchor="t"/>
        <a:lstStyle/>
        <a:p>
          <a:r>
            <a:rPr lang="de-DE" sz="1200" b="1">
              <a:solidFill>
                <a:schemeClr val="tx2"/>
              </a:solidFill>
            </a:rPr>
            <a:t>A</a:t>
          </a:r>
          <a:r>
            <a:rPr lang="de-DE" sz="900" b="1">
              <a:solidFill>
                <a:schemeClr val="tx2"/>
              </a:solidFill>
            </a:rPr>
            <a:t>1</a:t>
          </a:r>
        </a:p>
      </xdr:txBody>
    </xdr:sp>
    <xdr:clientData/>
  </xdr:twoCellAnchor>
  <xdr:twoCellAnchor>
    <xdr:from>
      <xdr:col>17</xdr:col>
      <xdr:colOff>180975</xdr:colOff>
      <xdr:row>48</xdr:row>
      <xdr:rowOff>85724</xdr:rowOff>
    </xdr:from>
    <xdr:to>
      <xdr:col>27</xdr:col>
      <xdr:colOff>85725</xdr:colOff>
      <xdr:row>78</xdr:row>
      <xdr:rowOff>95248</xdr:rowOff>
    </xdr:to>
    <xdr:graphicFrame macro="">
      <xdr:nvGraphicFramePr>
        <xdr:cNvPr id="54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123824</xdr:colOff>
      <xdr:row>7</xdr:row>
      <xdr:rowOff>47626</xdr:rowOff>
    </xdr:from>
    <xdr:to>
      <xdr:col>23</xdr:col>
      <xdr:colOff>628650</xdr:colOff>
      <xdr:row>37</xdr:row>
      <xdr:rowOff>19051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19050" cap="flat" cmpd="sng" algn="ctr">
          <a:solidFill>
            <a:srgbClr val="000000"/>
          </a:solidFill>
          <a:prstDash val="dash"/>
          <a:round/>
          <a:headEnd type="arrow" w="med" len="med"/>
          <a:tailEnd type="arrow" w="med" len="med"/>
        </a:ln>
        <a:effectLst/>
      </a:spPr>
      <a:bodyPr vertOverflow="clip" wrap="square" lIns="18288" tIns="0" rIns="0" bIns="0" upright="1"/>
      <a:lstStyle>
        <a:defPPr>
          <a:defRPr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L163"/>
  <sheetViews>
    <sheetView topLeftCell="A127" zoomScaleNormal="100" workbookViewId="0">
      <selection activeCell="AB27" sqref="AB27"/>
    </sheetView>
  </sheetViews>
  <sheetFormatPr baseColWidth="10" defaultRowHeight="12.75" x14ac:dyDescent="0.2"/>
  <cols>
    <col min="1" max="1" width="7" customWidth="1"/>
    <col min="2" max="2" width="5.85546875" customWidth="1"/>
    <col min="3" max="3" width="4.85546875" customWidth="1"/>
    <col min="4" max="4" width="6.28515625" customWidth="1"/>
    <col min="5" max="6" width="6.140625" customWidth="1"/>
    <col min="7" max="7" width="2.7109375" customWidth="1"/>
    <col min="8" max="9" width="5.7109375" customWidth="1"/>
    <col min="10" max="10" width="4.85546875" customWidth="1"/>
    <col min="11" max="11" width="6.85546875" customWidth="1"/>
    <col min="12" max="12" width="5.42578125" customWidth="1"/>
    <col min="13" max="14" width="4.5703125" customWidth="1"/>
    <col min="15" max="15" width="5" customWidth="1"/>
    <col min="16" max="18" width="4.5703125" customWidth="1"/>
    <col min="19" max="19" width="4" customWidth="1"/>
    <col min="20" max="20" width="4.5703125" customWidth="1"/>
    <col min="21" max="21" width="5" customWidth="1"/>
    <col min="22" max="23" width="6.7109375" customWidth="1"/>
    <col min="24" max="24" width="4.85546875" customWidth="1"/>
    <col min="25" max="25" width="7.85546875" customWidth="1"/>
    <col min="26" max="26" width="5.5703125" customWidth="1"/>
    <col min="27" max="27" width="11.28515625" customWidth="1"/>
    <col min="28" max="28" width="8.7109375" customWidth="1"/>
    <col min="29" max="29" width="2.140625" customWidth="1"/>
    <col min="30" max="30" width="2" customWidth="1"/>
    <col min="37" max="38" width="8.5703125" customWidth="1"/>
    <col min="39" max="39" width="7.7109375" customWidth="1"/>
    <col min="40" max="40" width="6.140625" customWidth="1"/>
  </cols>
  <sheetData>
    <row r="1" spans="1:38" ht="15.75" thickBot="1" x14ac:dyDescent="0.3">
      <c r="A1" s="1381" t="s">
        <v>139</v>
      </c>
      <c r="B1" s="1381"/>
      <c r="C1" s="1381"/>
      <c r="D1" s="1381"/>
      <c r="E1" s="1381"/>
      <c r="F1" s="1381"/>
      <c r="G1" s="1381"/>
      <c r="H1" s="1381"/>
      <c r="I1" s="1381"/>
      <c r="J1" s="1381"/>
      <c r="K1" s="1381"/>
      <c r="L1" s="1381"/>
      <c r="M1" s="1381"/>
      <c r="N1" s="1381"/>
      <c r="O1" s="67"/>
      <c r="P1" s="67"/>
      <c r="Q1" s="67"/>
      <c r="AF1" s="3"/>
      <c r="AH1" s="67"/>
    </row>
    <row r="2" spans="1:38" ht="19.5" thickBot="1" x14ac:dyDescent="0.4">
      <c r="A2" s="88"/>
      <c r="B2" s="88"/>
      <c r="C2" s="88"/>
      <c r="D2" s="119"/>
      <c r="E2" s="1382" t="s">
        <v>27</v>
      </c>
      <c r="F2" s="1383"/>
      <c r="G2" s="1383"/>
      <c r="H2" s="1383"/>
      <c r="I2" s="1383"/>
      <c r="J2" s="1384"/>
      <c r="K2" s="893" t="s">
        <v>26</v>
      </c>
      <c r="L2" s="1382" t="s">
        <v>166</v>
      </c>
      <c r="M2" s="1383"/>
      <c r="N2" s="1384"/>
      <c r="O2" s="1348" t="s">
        <v>161</v>
      </c>
      <c r="P2" s="1349"/>
      <c r="Q2" s="1349"/>
      <c r="R2" s="1393"/>
      <c r="S2" s="1382" t="s">
        <v>88</v>
      </c>
      <c r="T2" s="1383"/>
      <c r="U2" s="1384"/>
      <c r="V2" s="403" t="s">
        <v>94</v>
      </c>
      <c r="W2" s="428" t="s">
        <v>93</v>
      </c>
      <c r="X2" s="776"/>
      <c r="Y2" s="572"/>
      <c r="AA2" s="79"/>
      <c r="AB2" s="79"/>
      <c r="AC2" s="79"/>
      <c r="AD2" s="422"/>
      <c r="AE2" s="80"/>
      <c r="AF2" s="569"/>
      <c r="AG2" s="19"/>
      <c r="AH2" s="81"/>
      <c r="AK2" s="403" t="s">
        <v>94</v>
      </c>
      <c r="AL2" s="428" t="s">
        <v>93</v>
      </c>
    </row>
    <row r="3" spans="1:38" ht="18.75" x14ac:dyDescent="0.35">
      <c r="A3" s="1391" t="s">
        <v>3</v>
      </c>
      <c r="B3" s="746" t="s">
        <v>165</v>
      </c>
      <c r="C3" s="747" t="s">
        <v>20</v>
      </c>
      <c r="D3" s="891" t="s">
        <v>116</v>
      </c>
      <c r="E3" s="748" t="s">
        <v>94</v>
      </c>
      <c r="F3" s="757" t="s">
        <v>93</v>
      </c>
      <c r="G3" s="1385"/>
      <c r="H3" s="966" t="s">
        <v>28</v>
      </c>
      <c r="I3" s="1329" t="s">
        <v>162</v>
      </c>
      <c r="J3" s="1330"/>
      <c r="K3" s="894" t="s">
        <v>160</v>
      </c>
      <c r="L3" s="746" t="s">
        <v>160</v>
      </c>
      <c r="M3" s="1389" t="s">
        <v>84</v>
      </c>
      <c r="N3" s="1390"/>
      <c r="O3" s="1332" t="s">
        <v>12</v>
      </c>
      <c r="P3" s="1333"/>
      <c r="Q3" s="1389" t="s">
        <v>13</v>
      </c>
      <c r="R3" s="1390"/>
      <c r="S3" s="1367" t="s">
        <v>12</v>
      </c>
      <c r="T3" s="1368"/>
      <c r="U3" s="1369"/>
      <c r="V3" s="1361" t="s">
        <v>109</v>
      </c>
      <c r="W3" s="1362"/>
      <c r="X3" s="1365" t="s">
        <v>16</v>
      </c>
      <c r="Y3" s="684" t="s">
        <v>132</v>
      </c>
      <c r="Z3" s="865" t="s">
        <v>21</v>
      </c>
      <c r="AA3" s="79"/>
      <c r="AB3" s="344"/>
      <c r="AC3" s="344"/>
      <c r="AD3" s="344"/>
      <c r="AE3" s="345"/>
      <c r="AF3" s="3"/>
      <c r="AK3" s="1357" t="s">
        <v>109</v>
      </c>
      <c r="AL3" s="1358"/>
    </row>
    <row r="4" spans="1:38" ht="18.75" customHeight="1" thickBot="1" x14ac:dyDescent="0.25">
      <c r="A4" s="1392"/>
      <c r="B4" s="749" t="s">
        <v>164</v>
      </c>
      <c r="C4" s="749" t="s">
        <v>6</v>
      </c>
      <c r="D4" s="750" t="s">
        <v>6</v>
      </c>
      <c r="E4" s="1387" t="s">
        <v>109</v>
      </c>
      <c r="F4" s="1388"/>
      <c r="G4" s="1386"/>
      <c r="H4" s="967" t="s">
        <v>163</v>
      </c>
      <c r="I4" s="786" t="s">
        <v>24</v>
      </c>
      <c r="J4" s="1040" t="s">
        <v>25</v>
      </c>
      <c r="K4" s="895" t="s">
        <v>156</v>
      </c>
      <c r="L4" s="751" t="s">
        <v>157</v>
      </c>
      <c r="M4" s="788" t="s">
        <v>158</v>
      </c>
      <c r="N4" s="789" t="s">
        <v>159</v>
      </c>
      <c r="O4" s="754" t="s">
        <v>10</v>
      </c>
      <c r="P4" s="788" t="s">
        <v>11</v>
      </c>
      <c r="Q4" s="752" t="s">
        <v>10</v>
      </c>
      <c r="R4" s="753" t="s">
        <v>11</v>
      </c>
      <c r="S4" s="790" t="s">
        <v>28</v>
      </c>
      <c r="T4" s="788" t="s">
        <v>10</v>
      </c>
      <c r="U4" s="753" t="s">
        <v>11</v>
      </c>
      <c r="V4" s="1363" t="s">
        <v>152</v>
      </c>
      <c r="W4" s="1364"/>
      <c r="X4" s="1366"/>
      <c r="Y4" s="861" t="s">
        <v>133</v>
      </c>
      <c r="Z4" s="862" t="s">
        <v>145</v>
      </c>
      <c r="AA4" s="35"/>
      <c r="AB4" s="35"/>
      <c r="AC4" s="35"/>
      <c r="AD4" s="35"/>
      <c r="AE4" s="345"/>
      <c r="AF4" s="570"/>
      <c r="AK4" s="1359" t="s">
        <v>155</v>
      </c>
      <c r="AL4" s="1360"/>
    </row>
    <row r="5" spans="1:38" ht="16.5" customHeight="1" x14ac:dyDescent="0.2">
      <c r="A5" s="968">
        <v>39450.333333333336</v>
      </c>
      <c r="B5" s="297">
        <v>8</v>
      </c>
      <c r="C5" s="298">
        <f>A5-$A$5+3.33</f>
        <v>3.33</v>
      </c>
      <c r="D5" s="1025">
        <v>1</v>
      </c>
      <c r="E5" s="144">
        <v>405331</v>
      </c>
      <c r="F5" s="328"/>
      <c r="G5" s="783"/>
      <c r="H5" s="773">
        <v>221.08</v>
      </c>
      <c r="I5" s="755"/>
      <c r="J5" s="329">
        <f>H5+B5/24*(232.94-H5)</f>
        <v>225.03333333333333</v>
      </c>
      <c r="K5" s="896">
        <v>281.95999999999998</v>
      </c>
      <c r="L5" s="782">
        <f>K5-180</f>
        <v>101.95999999999998</v>
      </c>
      <c r="M5" s="322">
        <f t="shared" ref="M5:M33" si="0">COS(L5*PI()/180)</f>
        <v>-0.20722876435828216</v>
      </c>
      <c r="N5" s="756">
        <f t="shared" ref="N5:N33" si="1">SIN(L5*PI()/180)</f>
        <v>0.97829251209571244</v>
      </c>
      <c r="O5" s="311"/>
      <c r="P5" s="947"/>
      <c r="Q5" s="370">
        <f>M5+0.2*COS(J5*PI()/180)</f>
        <v>-0.34856782105726292</v>
      </c>
      <c r="R5" s="368">
        <f>N5+0.2*SIN(J5*PI()/180)</f>
        <v>0.83678890418608243</v>
      </c>
      <c r="S5" s="418">
        <f>50+360*C5/(8.85*365.24)</f>
        <v>50.370872924977121</v>
      </c>
      <c r="T5" s="441"/>
      <c r="U5" s="576"/>
      <c r="V5" s="550">
        <f>E5</f>
        <v>405331</v>
      </c>
      <c r="W5" s="779"/>
      <c r="X5" s="777"/>
      <c r="Y5" s="681"/>
      <c r="Z5" s="596"/>
      <c r="AB5" s="346"/>
      <c r="AC5" s="346"/>
      <c r="AD5" s="568"/>
      <c r="AF5" s="3"/>
      <c r="AK5" s="139"/>
      <c r="AL5" s="384"/>
    </row>
    <row r="6" spans="1:38" x14ac:dyDescent="0.2">
      <c r="A6" s="969">
        <v>39466.375</v>
      </c>
      <c r="B6" s="300">
        <v>9</v>
      </c>
      <c r="C6" s="301">
        <f>A6-$A$5+3.33</f>
        <v>19.37166666666424</v>
      </c>
      <c r="D6" s="889">
        <f>D5+1</f>
        <v>2</v>
      </c>
      <c r="E6" s="758"/>
      <c r="F6" s="888">
        <v>366430</v>
      </c>
      <c r="G6" s="656"/>
      <c r="H6" s="434">
        <v>70.58</v>
      </c>
      <c r="I6" s="431">
        <f>H6+B6/24*(85.11-H6)</f>
        <v>76.028750000000002</v>
      </c>
      <c r="J6" s="440"/>
      <c r="K6" s="897">
        <v>298.27</v>
      </c>
      <c r="L6" s="302">
        <f>K6-180</f>
        <v>118.26999999999998</v>
      </c>
      <c r="M6" s="303">
        <f t="shared" si="0"/>
        <v>-0.47362712721695577</v>
      </c>
      <c r="N6" s="304">
        <f t="shared" si="1"/>
        <v>0.88072546480967251</v>
      </c>
      <c r="O6" s="491">
        <f>M6+0.3*COS(I6*PI()/180)</f>
        <v>-0.40119663079337958</v>
      </c>
      <c r="P6" s="645">
        <f>N6+0.3*SIN(I6*PI()/180)</f>
        <v>1.1718505636724026</v>
      </c>
      <c r="Q6" s="441"/>
      <c r="R6" s="363"/>
      <c r="S6" s="500">
        <f>50+360*C6/(8.85*365.24)</f>
        <v>52.157485488993267</v>
      </c>
      <c r="T6" s="365">
        <f>M6+0.3*COS(S6*PI()/180)</f>
        <v>-0.28957916893709135</v>
      </c>
      <c r="U6" s="530">
        <f>N6+0.3*SIN(S6*PI()/180)</f>
        <v>1.1176354668210129</v>
      </c>
      <c r="V6" s="846">
        <v>404800</v>
      </c>
      <c r="W6" s="780">
        <f>F6</f>
        <v>366430</v>
      </c>
      <c r="X6" s="778">
        <f t="shared" ref="X6:X33" si="2">(V6-W6)/(V6+W6)</f>
        <v>4.9751695343801458E-2</v>
      </c>
      <c r="Y6" s="144">
        <f>0.5*(V6+W6)</f>
        <v>385615</v>
      </c>
      <c r="Z6" s="82">
        <f>C8-C6</f>
        <v>25.666666666664241</v>
      </c>
      <c r="AB6" s="366"/>
      <c r="AC6" s="366"/>
      <c r="AD6" s="26"/>
      <c r="AF6" s="509"/>
      <c r="AK6" s="535">
        <v>404800</v>
      </c>
      <c r="AL6" s="540"/>
    </row>
    <row r="7" spans="1:38" x14ac:dyDescent="0.2">
      <c r="A7" s="970">
        <v>39478.166666666664</v>
      </c>
      <c r="B7" s="306">
        <v>4</v>
      </c>
      <c r="C7" s="307">
        <f>A7-$A$5+3.33</f>
        <v>31.163333333328481</v>
      </c>
      <c r="D7" s="889"/>
      <c r="E7" s="626">
        <v>404533</v>
      </c>
      <c r="F7" s="3"/>
      <c r="G7" s="783"/>
      <c r="H7" s="434">
        <v>229.04</v>
      </c>
      <c r="I7" s="432"/>
      <c r="J7" s="329">
        <f>H7+B7/24*(240.92-H7)</f>
        <v>231.01999999999998</v>
      </c>
      <c r="K7" s="897">
        <v>310.47000000000003</v>
      </c>
      <c r="L7" s="308">
        <f>K7-180</f>
        <v>130.47000000000003</v>
      </c>
      <c r="M7" s="309">
        <f t="shared" si="0"/>
        <v>-0.64904981169089759</v>
      </c>
      <c r="N7" s="310">
        <f t="shared" si="1"/>
        <v>0.76074591155260918</v>
      </c>
      <c r="O7" s="311"/>
      <c r="P7" s="947"/>
      <c r="Q7" s="370">
        <f>M7+0.2*COS(J7*PI()/180)</f>
        <v>-0.77485962721070489</v>
      </c>
      <c r="R7" s="368">
        <f>N7+0.2*SIN(J7*PI()/180)</f>
        <v>0.60527279387990007</v>
      </c>
      <c r="S7" s="418"/>
      <c r="T7" s="370"/>
      <c r="U7" s="531"/>
      <c r="V7" s="426">
        <f>E7</f>
        <v>404533</v>
      </c>
      <c r="W7" s="847">
        <v>369400</v>
      </c>
      <c r="X7" s="778">
        <f t="shared" si="2"/>
        <v>4.5395402444397645E-2</v>
      </c>
      <c r="Y7" s="550">
        <f t="shared" ref="Y7:Y32" si="3">0.5*(V7+W7)</f>
        <v>386966.5</v>
      </c>
      <c r="Z7" s="82">
        <f t="shared" ref="Z7:Z31" si="4">C9-C7</f>
        <v>27.875</v>
      </c>
      <c r="AB7" s="346"/>
      <c r="AC7" s="346"/>
      <c r="AD7" s="26"/>
      <c r="AF7" s="509"/>
      <c r="AK7" s="541"/>
      <c r="AL7" s="534">
        <v>369400</v>
      </c>
    </row>
    <row r="8" spans="1:38" x14ac:dyDescent="0.2">
      <c r="A8" s="971">
        <v>39492.041666666664</v>
      </c>
      <c r="B8" s="312">
        <v>1</v>
      </c>
      <c r="C8" s="313">
        <f t="shared" ref="C8:C33" si="5">A8-$A$5+3.33</f>
        <v>45.038333333328481</v>
      </c>
      <c r="D8" s="1026">
        <f>D6+1</f>
        <v>3</v>
      </c>
      <c r="E8" s="759"/>
      <c r="F8" s="314">
        <v>370219</v>
      </c>
      <c r="G8" s="784"/>
      <c r="H8" s="774">
        <v>52.71</v>
      </c>
      <c r="I8" s="433">
        <f>H8+B8/24*(66.9-H8)</f>
        <v>53.301250000000003</v>
      </c>
      <c r="J8" s="444"/>
      <c r="K8" s="898">
        <v>324.66000000000003</v>
      </c>
      <c r="L8" s="315">
        <f>K8-180</f>
        <v>144.66000000000003</v>
      </c>
      <c r="M8" s="316">
        <f t="shared" si="0"/>
        <v>-0.81573397049902774</v>
      </c>
      <c r="N8" s="317">
        <f t="shared" si="1"/>
        <v>0.57842725504067616</v>
      </c>
      <c r="O8" s="318">
        <f>M8+0.3*COS(I8*PI()/180)</f>
        <v>-0.63645167405835867</v>
      </c>
      <c r="P8" s="954">
        <f>N8+0.3*SIN(I8*PI()/180)</f>
        <v>0.81896385970399976</v>
      </c>
      <c r="Q8" s="581"/>
      <c r="R8" s="410"/>
      <c r="S8" s="580">
        <f>50+360*C8/(8.85*365.24)</f>
        <v>55.016065591419263</v>
      </c>
      <c r="T8" s="412">
        <f>M8+0.3*COS(S8*PI()/180)</f>
        <v>-0.64372995280461398</v>
      </c>
      <c r="U8" s="532">
        <f>N8+0.3*SIN(S8*PI()/180)</f>
        <v>0.82422110748003186</v>
      </c>
      <c r="V8" s="848">
        <v>404300</v>
      </c>
      <c r="W8" s="780">
        <f>F8</f>
        <v>370219</v>
      </c>
      <c r="X8" s="778">
        <f t="shared" si="2"/>
        <v>4.4002793992142221E-2</v>
      </c>
      <c r="Y8" s="550">
        <f t="shared" si="3"/>
        <v>387259.5</v>
      </c>
      <c r="Z8" s="82">
        <f t="shared" si="4"/>
        <v>25.875</v>
      </c>
      <c r="AA8" s="405"/>
      <c r="AB8" s="405"/>
      <c r="AC8" s="405"/>
      <c r="AD8" s="26"/>
      <c r="AF8" s="509"/>
      <c r="AK8" s="536">
        <v>404300</v>
      </c>
      <c r="AL8" s="545"/>
    </row>
    <row r="9" spans="1:38" x14ac:dyDescent="0.2">
      <c r="A9" s="970">
        <v>39506.041666666664</v>
      </c>
      <c r="B9" s="319">
        <v>1</v>
      </c>
      <c r="C9" s="307">
        <f t="shared" si="5"/>
        <v>59.038333333328481</v>
      </c>
      <c r="D9" s="1027"/>
      <c r="E9" s="760">
        <v>404443</v>
      </c>
      <c r="F9" s="320"/>
      <c r="G9" s="783"/>
      <c r="H9" s="309">
        <v>236.85</v>
      </c>
      <c r="I9" s="443"/>
      <c r="J9" s="417">
        <f>H9+B9/24*(248.73-H9)</f>
        <v>237.345</v>
      </c>
      <c r="K9" s="899">
        <v>338.77</v>
      </c>
      <c r="L9" s="321">
        <f t="shared" ref="L9:L30" si="6">K9-180</f>
        <v>158.76999999999998</v>
      </c>
      <c r="M9" s="322">
        <f t="shared" si="0"/>
        <v>-0.93213432724111367</v>
      </c>
      <c r="N9" s="323">
        <f t="shared" si="1"/>
        <v>0.36211268408985114</v>
      </c>
      <c r="O9" s="311"/>
      <c r="P9" s="947"/>
      <c r="Q9" s="370">
        <f>M9+0.2*COS(J9*PI()/180)</f>
        <v>-1.0400501738209733</v>
      </c>
      <c r="R9" s="371">
        <f>N9+0.2*SIN(J9*PI()/180)</f>
        <v>0.19372571886702816</v>
      </c>
      <c r="S9" s="418"/>
      <c r="T9" s="370"/>
      <c r="U9" s="531"/>
      <c r="V9" s="550">
        <f>E9</f>
        <v>404443</v>
      </c>
      <c r="W9" s="889">
        <v>369000</v>
      </c>
      <c r="X9" s="778">
        <f t="shared" si="2"/>
        <v>4.5824967062860482E-2</v>
      </c>
      <c r="Y9" s="550">
        <f t="shared" si="3"/>
        <v>386721.5</v>
      </c>
      <c r="Z9" s="82">
        <f t="shared" si="4"/>
        <v>27.791666666671517</v>
      </c>
      <c r="AA9" s="366"/>
      <c r="AB9" s="34"/>
      <c r="AC9" s="34"/>
      <c r="AD9" s="26"/>
      <c r="AF9" s="509"/>
      <c r="AK9" s="543"/>
      <c r="AL9" s="527">
        <v>369000</v>
      </c>
    </row>
    <row r="10" spans="1:38" x14ac:dyDescent="0.2">
      <c r="A10" s="969">
        <v>39517.916666666664</v>
      </c>
      <c r="B10" s="306">
        <v>22</v>
      </c>
      <c r="C10" s="301">
        <f t="shared" si="5"/>
        <v>70.913333333328481</v>
      </c>
      <c r="D10" s="1028">
        <f>D8+1</f>
        <v>4</v>
      </c>
      <c r="E10" s="761"/>
      <c r="F10" s="888">
        <v>366298</v>
      </c>
      <c r="G10" s="656"/>
      <c r="H10" s="434">
        <v>20.18</v>
      </c>
      <c r="I10" s="434">
        <f>H10+B10/24*(34.71-H10)</f>
        <v>33.499166666666667</v>
      </c>
      <c r="J10" s="440"/>
      <c r="K10" s="897">
        <v>350.79</v>
      </c>
      <c r="L10" s="302">
        <f t="shared" si="6"/>
        <v>170.79000000000002</v>
      </c>
      <c r="M10" s="303">
        <f t="shared" si="0"/>
        <v>-0.98710834550681237</v>
      </c>
      <c r="N10" s="304">
        <f t="shared" si="1"/>
        <v>0.16005347303574352</v>
      </c>
      <c r="O10" s="305">
        <f>M10+0.3*COS(I10*PI()/180)</f>
        <v>-0.73694019063370775</v>
      </c>
      <c r="P10" s="342">
        <f>N10+0.3*SIN(I10*PI()/180)</f>
        <v>0.32563093009855237</v>
      </c>
      <c r="Q10" s="441"/>
      <c r="R10" s="363"/>
      <c r="S10" s="500">
        <f>50+360*C10/(8.85*365.24)</f>
        <v>57.897848454417172</v>
      </c>
      <c r="T10" s="365">
        <f>M10+0.3*COS(S10*PI()/180)</f>
        <v>-0.82767922854030895</v>
      </c>
      <c r="U10" s="530">
        <f>N10+0.3*SIN(S10*PI()/180)</f>
        <v>0.41418406281840026</v>
      </c>
      <c r="V10" s="846">
        <v>404700</v>
      </c>
      <c r="W10" s="780">
        <f>F10</f>
        <v>366298</v>
      </c>
      <c r="X10" s="778">
        <f t="shared" si="2"/>
        <v>4.9808170708614027E-2</v>
      </c>
      <c r="Y10" s="144">
        <f t="shared" si="3"/>
        <v>385499</v>
      </c>
      <c r="Z10" s="82">
        <f t="shared" si="4"/>
        <v>27.875</v>
      </c>
      <c r="AA10" s="34"/>
      <c r="AB10" s="34"/>
      <c r="AC10" s="34"/>
      <c r="AD10" s="26"/>
      <c r="AF10" s="509"/>
      <c r="AK10" s="535">
        <v>404700</v>
      </c>
      <c r="AL10" s="540"/>
    </row>
    <row r="11" spans="1:38" x14ac:dyDescent="0.2">
      <c r="A11" s="970">
        <v>39533.833333333336</v>
      </c>
      <c r="B11" s="324">
        <v>20</v>
      </c>
      <c r="C11" s="307">
        <f t="shared" si="5"/>
        <v>86.83</v>
      </c>
      <c r="D11" s="1029"/>
      <c r="E11" s="144">
        <v>405092</v>
      </c>
      <c r="F11" s="325"/>
      <c r="G11" s="783"/>
      <c r="H11" s="775">
        <v>232.97</v>
      </c>
      <c r="I11" s="432"/>
      <c r="J11" s="329">
        <f>H11+B11/24*(244.85-H11)</f>
        <v>242.87</v>
      </c>
      <c r="K11" s="900">
        <v>6.7</v>
      </c>
      <c r="L11" s="308">
        <f t="shared" si="6"/>
        <v>-173.3</v>
      </c>
      <c r="M11" s="309">
        <f t="shared" si="0"/>
        <v>-0.99317064953848611</v>
      </c>
      <c r="N11" s="310">
        <f t="shared" si="1"/>
        <v>-0.11667073709933312</v>
      </c>
      <c r="O11" s="311"/>
      <c r="P11" s="947"/>
      <c r="Q11" s="370">
        <f>M11+0.2*COS(J11*PI()/180)</f>
        <v>-1.084372841358811</v>
      </c>
      <c r="R11" s="371">
        <f>N11+0.2*SIN(J11*PI()/180)</f>
        <v>-0.29466556906691777</v>
      </c>
      <c r="S11" s="418"/>
      <c r="T11" s="370"/>
      <c r="U11" s="531"/>
      <c r="V11" s="426">
        <f>E11</f>
        <v>405092</v>
      </c>
      <c r="W11" s="847">
        <v>363000</v>
      </c>
      <c r="X11" s="778">
        <f t="shared" si="2"/>
        <v>5.480072699624524E-2</v>
      </c>
      <c r="Y11" s="144">
        <f t="shared" si="3"/>
        <v>384046</v>
      </c>
      <c r="Z11" s="82">
        <f t="shared" si="4"/>
        <v>27.583333333328483</v>
      </c>
      <c r="AB11" s="346"/>
      <c r="AC11" s="346"/>
      <c r="AD11" s="26"/>
      <c r="AF11" s="509"/>
      <c r="AK11" s="541"/>
      <c r="AL11" s="534">
        <v>363000</v>
      </c>
    </row>
    <row r="12" spans="1:38" x14ac:dyDescent="0.2">
      <c r="A12" s="969">
        <v>39545.791666666664</v>
      </c>
      <c r="B12" s="326">
        <v>19</v>
      </c>
      <c r="C12" s="301">
        <f t="shared" si="5"/>
        <v>98.788333333328481</v>
      </c>
      <c r="D12" s="1030">
        <f>D10+1</f>
        <v>5</v>
      </c>
      <c r="E12" s="761"/>
      <c r="F12" s="327">
        <v>361080</v>
      </c>
      <c r="G12" s="656"/>
      <c r="H12" s="431">
        <v>29.17</v>
      </c>
      <c r="I12" s="431">
        <f>H12+B12/24*(44.15-H12)</f>
        <v>41.029166666666669</v>
      </c>
      <c r="J12" s="440"/>
      <c r="K12" s="901">
        <v>18.53</v>
      </c>
      <c r="L12" s="321">
        <f t="shared" si="6"/>
        <v>-161.47</v>
      </c>
      <c r="M12" s="322">
        <f t="shared" si="0"/>
        <v>-0.94815738489005108</v>
      </c>
      <c r="N12" s="323">
        <f t="shared" si="1"/>
        <v>-0.31780115399170517</v>
      </c>
      <c r="O12" s="305">
        <f>M12+0.3*COS(I12*PI()/180)</f>
        <v>-0.7218447310685483</v>
      </c>
      <c r="P12" s="342">
        <f>N12+0.3*SIN(I12*PI()/180)</f>
        <v>-0.12086821433896802</v>
      </c>
      <c r="Q12" s="441"/>
      <c r="R12" s="363"/>
      <c r="S12" s="500">
        <f>50+360*C12/(8.85*365.24)</f>
        <v>61.002377818902843</v>
      </c>
      <c r="T12" s="365">
        <f>M12+0.3*COS(S12*PI()/180)</f>
        <v>-0.8027253881584907</v>
      </c>
      <c r="U12" s="530">
        <f>N12+0.3*SIN(S12*PI()/180)</f>
        <v>-5.5409206084244766E-2</v>
      </c>
      <c r="V12" s="849">
        <v>405450</v>
      </c>
      <c r="W12" s="780">
        <f>F12</f>
        <v>361080</v>
      </c>
      <c r="X12" s="778">
        <f t="shared" si="2"/>
        <v>5.7884231536926151E-2</v>
      </c>
      <c r="Y12" s="144">
        <f t="shared" si="3"/>
        <v>383265</v>
      </c>
      <c r="Z12" s="82">
        <f t="shared" si="4"/>
        <v>28.333333333335759</v>
      </c>
      <c r="AB12" s="366"/>
      <c r="AC12" s="366"/>
      <c r="AD12" s="26"/>
      <c r="AF12" s="509"/>
      <c r="AK12" s="537">
        <v>405450</v>
      </c>
      <c r="AL12" s="542"/>
    </row>
    <row r="13" spans="1:38" x14ac:dyDescent="0.2">
      <c r="A13" s="970">
        <v>39561.416666666664</v>
      </c>
      <c r="B13" s="324">
        <v>10</v>
      </c>
      <c r="C13" s="307">
        <f t="shared" si="5"/>
        <v>114.41333333332848</v>
      </c>
      <c r="D13" s="1031"/>
      <c r="E13" s="626">
        <v>405943</v>
      </c>
      <c r="F13" s="328"/>
      <c r="G13" s="783"/>
      <c r="H13" s="775">
        <v>241.42</v>
      </c>
      <c r="I13" s="435"/>
      <c r="J13" s="329">
        <f>H13+B13/24*(253.29-H13)</f>
        <v>246.36583333333331</v>
      </c>
      <c r="K13" s="900">
        <v>33.21</v>
      </c>
      <c r="L13" s="321">
        <f t="shared" si="6"/>
        <v>-146.79</v>
      </c>
      <c r="M13" s="322">
        <f t="shared" si="0"/>
        <v>-0.83666873290366961</v>
      </c>
      <c r="N13" s="323">
        <f t="shared" si="1"/>
        <v>-0.54770925807527482</v>
      </c>
      <c r="O13" s="311"/>
      <c r="P13" s="947"/>
      <c r="Q13" s="370">
        <f>M13+0.2*COS(J13*PI()/180)</f>
        <v>-0.91684781440850427</v>
      </c>
      <c r="R13" s="371">
        <f>N13+0.2*SIN(J13*PI()/180)</f>
        <v>-0.73093402411153174</v>
      </c>
      <c r="S13" s="418"/>
      <c r="T13" s="370"/>
      <c r="U13" s="531"/>
      <c r="V13" s="426">
        <f>E13</f>
        <v>405943</v>
      </c>
      <c r="W13" s="847">
        <v>359000</v>
      </c>
      <c r="X13" s="778">
        <f t="shared" si="2"/>
        <v>6.1367971208312257E-2</v>
      </c>
      <c r="Y13" s="550">
        <f t="shared" si="3"/>
        <v>382471.5</v>
      </c>
      <c r="Z13" s="82">
        <f t="shared" si="4"/>
        <v>27.166666666671532</v>
      </c>
      <c r="AB13" s="346"/>
      <c r="AC13" s="346"/>
      <c r="AD13" s="26"/>
      <c r="AF13" s="509"/>
      <c r="AK13" s="543"/>
      <c r="AL13" s="527">
        <v>359000</v>
      </c>
    </row>
    <row r="14" spans="1:38" x14ac:dyDescent="0.2">
      <c r="A14" s="969">
        <v>39574.125</v>
      </c>
      <c r="B14" s="330">
        <v>3</v>
      </c>
      <c r="C14" s="301">
        <f t="shared" si="5"/>
        <v>127.12166666666424</v>
      </c>
      <c r="D14" s="1032">
        <f>D12+1</f>
        <v>6</v>
      </c>
      <c r="E14" s="762"/>
      <c r="F14" s="331">
        <v>357771</v>
      </c>
      <c r="G14" s="656"/>
      <c r="H14" s="303">
        <v>52.81</v>
      </c>
      <c r="I14" s="441">
        <f>H14+B14/24*(68.07-H14)</f>
        <v>54.717500000000001</v>
      </c>
      <c r="J14" s="440"/>
      <c r="K14" s="902">
        <v>45.84</v>
      </c>
      <c r="L14" s="302">
        <f t="shared" si="6"/>
        <v>-134.16</v>
      </c>
      <c r="M14" s="303">
        <f t="shared" si="0"/>
        <v>-0.69666443497848041</v>
      </c>
      <c r="N14" s="304">
        <f t="shared" si="1"/>
        <v>-0.71739714596317894</v>
      </c>
      <c r="O14" s="305">
        <f>M14+0.3*COS(I14*PI()/180)</f>
        <v>-0.52338193826094237</v>
      </c>
      <c r="P14" s="342">
        <f>N14+0.3*SIN(I14*PI()/180)</f>
        <v>-0.47250293139015886</v>
      </c>
      <c r="Q14" s="441"/>
      <c r="R14" s="363"/>
      <c r="S14" s="500">
        <f>50+360*C14/(8.85*365.24)</f>
        <v>64.157953256646394</v>
      </c>
      <c r="T14" s="365">
        <f>M14+0.3*COS(S14*PI()/180)</f>
        <v>-0.5658969295535442</v>
      </c>
      <c r="U14" s="530">
        <f>N14+0.3*SIN(S14*PI()/180)</f>
        <v>-0.44739740610230561</v>
      </c>
      <c r="V14" s="850">
        <v>406250</v>
      </c>
      <c r="W14" s="780">
        <f>F14</f>
        <v>357771</v>
      </c>
      <c r="X14" s="778">
        <f t="shared" si="2"/>
        <v>6.3452444369984595E-2</v>
      </c>
      <c r="Y14" s="550">
        <f t="shared" si="3"/>
        <v>382010.5</v>
      </c>
      <c r="Z14" s="82">
        <f t="shared" si="4"/>
        <v>28.416666666664256</v>
      </c>
      <c r="AA14" s="405"/>
      <c r="AB14" s="422"/>
      <c r="AC14" s="422"/>
      <c r="AD14" s="26"/>
      <c r="AF14" s="509"/>
      <c r="AK14" s="535">
        <v>406250</v>
      </c>
      <c r="AL14" s="540"/>
    </row>
    <row r="15" spans="1:38" x14ac:dyDescent="0.2">
      <c r="A15" s="972">
        <v>39588.583333333336</v>
      </c>
      <c r="B15" s="394">
        <v>14</v>
      </c>
      <c r="C15" s="333">
        <f t="shared" si="5"/>
        <v>141.58000000000001</v>
      </c>
      <c r="D15" s="1033"/>
      <c r="E15" s="763">
        <v>406403</v>
      </c>
      <c r="F15" s="395"/>
      <c r="G15" s="785"/>
      <c r="H15" s="398">
        <v>238.36</v>
      </c>
      <c r="I15" s="499"/>
      <c r="J15" s="439">
        <f>H15+B15/24*(250.24-H15)</f>
        <v>245.29000000000002</v>
      </c>
      <c r="K15" s="903">
        <v>60.32</v>
      </c>
      <c r="L15" s="397">
        <f t="shared" si="6"/>
        <v>-119.68</v>
      </c>
      <c r="M15" s="398">
        <f t="shared" si="0"/>
        <v>-0.4951554286552266</v>
      </c>
      <c r="N15" s="399">
        <f t="shared" si="1"/>
        <v>-0.86880440921605528</v>
      </c>
      <c r="O15" s="396"/>
      <c r="P15" s="944"/>
      <c r="Q15" s="398">
        <f>M15+0.2*COS(J15*PI()/180)</f>
        <v>-0.5787605550603433</v>
      </c>
      <c r="R15" s="413">
        <f>N15+0.2*SIN(J15*PI()/180)</f>
        <v>-1.0504914556414526</v>
      </c>
      <c r="S15" s="397"/>
      <c r="T15" s="398"/>
      <c r="U15" s="533"/>
      <c r="V15" s="425">
        <f>E15</f>
        <v>406403</v>
      </c>
      <c r="W15" s="781">
        <v>357200</v>
      </c>
      <c r="X15" s="778">
        <f t="shared" si="2"/>
        <v>6.4435315209604993E-2</v>
      </c>
      <c r="Y15" s="550">
        <f t="shared" si="3"/>
        <v>381801.5</v>
      </c>
      <c r="Z15" s="82">
        <f t="shared" si="4"/>
        <v>27.166666666664241</v>
      </c>
      <c r="AA15" s="420"/>
      <c r="AB15" s="421"/>
      <c r="AC15" s="421"/>
      <c r="AD15" s="26"/>
      <c r="AF15" s="509"/>
      <c r="AK15" s="546"/>
      <c r="AL15" s="538">
        <v>357200</v>
      </c>
    </row>
    <row r="16" spans="1:38" x14ac:dyDescent="0.2">
      <c r="A16" s="973">
        <v>39602.541666666664</v>
      </c>
      <c r="B16" s="400">
        <v>13</v>
      </c>
      <c r="C16" s="301">
        <f t="shared" si="5"/>
        <v>155.5383333333285</v>
      </c>
      <c r="D16" s="1034">
        <f>D14+1</f>
        <v>7</v>
      </c>
      <c r="E16" s="764"/>
      <c r="F16" s="401">
        <v>357251</v>
      </c>
      <c r="G16" s="656"/>
      <c r="H16" s="365">
        <v>61.21</v>
      </c>
      <c r="I16" s="365">
        <f>H16+B16/24*(76.51-H16)</f>
        <v>69.497500000000002</v>
      </c>
      <c r="J16" s="496"/>
      <c r="K16" s="904">
        <v>73.75</v>
      </c>
      <c r="L16" s="500">
        <f t="shared" si="6"/>
        <v>-106.25</v>
      </c>
      <c r="M16" s="441">
        <f t="shared" si="0"/>
        <v>-0.27982901403099192</v>
      </c>
      <c r="N16" s="501">
        <f t="shared" si="1"/>
        <v>-0.96004985438592871</v>
      </c>
      <c r="O16" s="402">
        <f>M16+0.3*COS(I16*PI()/180)</f>
        <v>-0.17475453874288172</v>
      </c>
      <c r="P16" s="955">
        <f>N16+0.3*SIN(I16*PI()/180)</f>
        <v>-0.67905278208280251</v>
      </c>
      <c r="Q16" s="441"/>
      <c r="R16" s="363"/>
      <c r="S16" s="500">
        <f>50+360*C16/(8.85*365.24)</f>
        <v>67.322809798618067</v>
      </c>
      <c r="T16" s="365">
        <f>M16+0.3*COS(S16*PI()/180)</f>
        <v>-0.164167390913871</v>
      </c>
      <c r="U16" s="530">
        <f>N16+0.3*SIN(S16*PI()/180)</f>
        <v>-0.68324236001861016</v>
      </c>
      <c r="V16" s="849">
        <v>406410</v>
      </c>
      <c r="W16" s="780">
        <f>F16</f>
        <v>357251</v>
      </c>
      <c r="X16" s="778">
        <f t="shared" si="2"/>
        <v>6.4372804163103786E-2</v>
      </c>
      <c r="Y16" s="550">
        <f t="shared" si="3"/>
        <v>381830.5</v>
      </c>
      <c r="Z16" s="82">
        <f t="shared" si="4"/>
        <v>28.333333333335759</v>
      </c>
      <c r="AA16" s="34"/>
      <c r="AB16" s="421"/>
      <c r="AC16" s="421"/>
      <c r="AD16" s="26"/>
      <c r="AF16" s="509"/>
      <c r="AK16" s="537">
        <v>406410</v>
      </c>
      <c r="AL16" s="542"/>
    </row>
    <row r="17" spans="1:38" x14ac:dyDescent="0.2">
      <c r="A17" s="970">
        <v>39615.75</v>
      </c>
      <c r="B17" s="324">
        <v>18</v>
      </c>
      <c r="C17" s="307">
        <f t="shared" si="5"/>
        <v>168.74666666666425</v>
      </c>
      <c r="D17" s="1031"/>
      <c r="E17" s="144">
        <v>406228</v>
      </c>
      <c r="F17" s="328"/>
      <c r="G17" s="783"/>
      <c r="H17" s="775">
        <v>235.39</v>
      </c>
      <c r="I17" s="442"/>
      <c r="J17" s="417">
        <f>H17+B17/24*(247.25-H17)</f>
        <v>244.285</v>
      </c>
      <c r="K17" s="900">
        <v>86.18</v>
      </c>
      <c r="L17" s="321">
        <f t="shared" si="6"/>
        <v>-93.82</v>
      </c>
      <c r="M17" s="322">
        <f t="shared" si="0"/>
        <v>-6.6622194773348478E-2</v>
      </c>
      <c r="N17" s="323">
        <f t="shared" si="1"/>
        <v>-0.99777827354757631</v>
      </c>
      <c r="O17" s="311"/>
      <c r="P17" s="947"/>
      <c r="Q17" s="370">
        <f>M17+0.2*COS(J17*PI()/180)</f>
        <v>-0.15340118900057437</v>
      </c>
      <c r="R17" s="371">
        <f>N17+0.2*SIN(J17*PI()/180)</f>
        <v>-1.1779709652997978</v>
      </c>
      <c r="S17" s="418"/>
      <c r="T17" s="370"/>
      <c r="U17" s="531"/>
      <c r="V17" s="550">
        <f>E17</f>
        <v>406228</v>
      </c>
      <c r="W17" s="851">
        <v>358000</v>
      </c>
      <c r="X17" s="778">
        <f t="shared" si="2"/>
        <v>6.3106821524466519E-2</v>
      </c>
      <c r="Y17" s="144">
        <f t="shared" si="3"/>
        <v>382114</v>
      </c>
      <c r="Z17" s="82">
        <f t="shared" si="4"/>
        <v>27.416666666664241</v>
      </c>
      <c r="AA17" s="346"/>
      <c r="AB17" s="346"/>
      <c r="AC17" s="346"/>
      <c r="AD17" s="26"/>
      <c r="AF17" s="509"/>
      <c r="AK17" s="543"/>
      <c r="AL17" s="527">
        <v>358000</v>
      </c>
    </row>
    <row r="18" spans="1:38" x14ac:dyDescent="0.2">
      <c r="A18" s="969">
        <v>39630.875</v>
      </c>
      <c r="B18" s="326">
        <v>21</v>
      </c>
      <c r="C18" s="301">
        <f t="shared" si="5"/>
        <v>183.87166666666425</v>
      </c>
      <c r="D18" s="1030">
        <f>D16+1</f>
        <v>8</v>
      </c>
      <c r="E18" s="761"/>
      <c r="F18" s="327">
        <v>359513</v>
      </c>
      <c r="G18" s="656"/>
      <c r="H18" s="431">
        <v>69.959999999999994</v>
      </c>
      <c r="I18" s="434">
        <f>H18+B18/24*(85.04-H18)</f>
        <v>83.155000000000001</v>
      </c>
      <c r="J18" s="440"/>
      <c r="K18" s="901">
        <v>100.49</v>
      </c>
      <c r="L18" s="302">
        <f t="shared" si="6"/>
        <v>-79.510000000000005</v>
      </c>
      <c r="M18" s="303">
        <f t="shared" si="0"/>
        <v>0.18206391236217909</v>
      </c>
      <c r="N18" s="304">
        <f t="shared" si="1"/>
        <v>-0.9832866986873039</v>
      </c>
      <c r="O18" s="305">
        <f>M18+0.3*COS(I18*PI()/180)</f>
        <v>0.21781905386036376</v>
      </c>
      <c r="P18" s="342">
        <f>N18+0.3*SIN(I18*PI()/180)</f>
        <v>-0.685425036406901</v>
      </c>
      <c r="Q18" s="441"/>
      <c r="R18" s="363"/>
      <c r="S18" s="500">
        <f>50+360*C18/(8.85*365.24)</f>
        <v>70.478385236361618</v>
      </c>
      <c r="T18" s="365">
        <f>M18+0.3*COS(S18*PI()/180)</f>
        <v>0.28231264611312984</v>
      </c>
      <c r="U18" s="530">
        <f>N18+0.3*SIN(S18*PI()/180)</f>
        <v>-0.70053204995216634</v>
      </c>
      <c r="V18" s="846">
        <v>405900</v>
      </c>
      <c r="W18" s="780">
        <f>F18</f>
        <v>359513</v>
      </c>
      <c r="X18" s="778">
        <f t="shared" si="2"/>
        <v>6.0603883132374289E-2</v>
      </c>
      <c r="Y18" s="550">
        <f t="shared" si="3"/>
        <v>382706.5</v>
      </c>
      <c r="Z18" s="82">
        <f t="shared" si="4"/>
        <v>28.083333333335759</v>
      </c>
      <c r="AA18" s="1394" t="s">
        <v>175</v>
      </c>
      <c r="AB18" s="1395"/>
      <c r="AC18" s="859"/>
      <c r="AD18" s="26"/>
      <c r="AF18" s="509"/>
      <c r="AK18" s="535">
        <v>405900</v>
      </c>
      <c r="AL18" s="540"/>
    </row>
    <row r="19" spans="1:38" ht="14.25" x14ac:dyDescent="0.2">
      <c r="A19" s="970">
        <v>39643.166666666664</v>
      </c>
      <c r="B19" s="324">
        <v>4</v>
      </c>
      <c r="C19" s="307">
        <f t="shared" si="5"/>
        <v>196.1633333333285</v>
      </c>
      <c r="D19" s="1031"/>
      <c r="E19" s="626">
        <v>405452</v>
      </c>
      <c r="F19" s="328"/>
      <c r="G19" s="783"/>
      <c r="H19" s="775">
        <v>244.04</v>
      </c>
      <c r="I19" s="437"/>
      <c r="J19" s="417">
        <f>H19+B19/24*(255.91-H19)</f>
        <v>246.01833333333332</v>
      </c>
      <c r="K19" s="900">
        <v>111.93</v>
      </c>
      <c r="L19" s="308">
        <f t="shared" si="6"/>
        <v>-68.069999999999993</v>
      </c>
      <c r="M19" s="309">
        <f t="shared" si="0"/>
        <v>0.3734735453517502</v>
      </c>
      <c r="N19" s="310">
        <f t="shared" si="1"/>
        <v>-0.92764083077578807</v>
      </c>
      <c r="O19" s="311"/>
      <c r="P19" s="947"/>
      <c r="Q19" s="370">
        <f>M19+0.2*COS(J19*PI()/180)</f>
        <v>0.2921846836123535</v>
      </c>
      <c r="R19" s="371">
        <f>N19+0.2*SIN(J19*PI()/180)</f>
        <v>-1.1103759422270723</v>
      </c>
      <c r="S19" s="418"/>
      <c r="T19" s="370"/>
      <c r="U19" s="531"/>
      <c r="V19" s="426">
        <f>E19</f>
        <v>405452</v>
      </c>
      <c r="W19" s="847">
        <v>361400</v>
      </c>
      <c r="X19" s="778">
        <f t="shared" si="2"/>
        <v>5.7445243671529839E-2</v>
      </c>
      <c r="Y19" s="144">
        <f t="shared" si="3"/>
        <v>383426</v>
      </c>
      <c r="Z19" s="82">
        <f t="shared" si="4"/>
        <v>27.666666666671517</v>
      </c>
      <c r="AA19" s="1019" t="s">
        <v>147</v>
      </c>
      <c r="AB19" s="863">
        <f>(C23-C8)/7.5</f>
        <v>27.544444444444768</v>
      </c>
      <c r="AC19" s="1021" t="s">
        <v>148</v>
      </c>
      <c r="AD19" s="26"/>
      <c r="AF19" s="509"/>
      <c r="AK19" s="541"/>
      <c r="AL19" s="534">
        <v>361400</v>
      </c>
    </row>
    <row r="20" spans="1:38" ht="14.25" x14ac:dyDescent="0.2">
      <c r="A20" s="969">
        <v>39658.958333333336</v>
      </c>
      <c r="B20" s="326">
        <v>23</v>
      </c>
      <c r="C20" s="301">
        <f t="shared" si="5"/>
        <v>211.95500000000001</v>
      </c>
      <c r="D20" s="1030">
        <f>D18+1</f>
        <v>9</v>
      </c>
      <c r="E20" s="761"/>
      <c r="F20" s="327">
        <v>363883</v>
      </c>
      <c r="G20" s="656"/>
      <c r="H20" s="431">
        <v>79.48</v>
      </c>
      <c r="I20" s="434">
        <f>H20+B20/24*(94.17-H20)</f>
        <v>93.557916666666671</v>
      </c>
      <c r="J20" s="440"/>
      <c r="K20" s="901">
        <v>127.21</v>
      </c>
      <c r="L20" s="321">
        <f t="shared" si="6"/>
        <v>-52.790000000000006</v>
      </c>
      <c r="M20" s="322">
        <f t="shared" si="0"/>
        <v>0.60473812634969959</v>
      </c>
      <c r="N20" s="323">
        <f t="shared" si="1"/>
        <v>-0.79642438344079769</v>
      </c>
      <c r="O20" s="305">
        <f>M20+0.3*COS(I20*PI()/180)</f>
        <v>0.5861208885642416</v>
      </c>
      <c r="P20" s="342">
        <f>N20+0.3*SIN(I20*PI()/180)</f>
        <v>-0.49700260992183715</v>
      </c>
      <c r="Q20" s="441"/>
      <c r="R20" s="363"/>
      <c r="S20" s="500">
        <f>50+360*C20/(8.85*365.24)</f>
        <v>73.606117361419194</v>
      </c>
      <c r="T20" s="365">
        <f>M20+0.3*COS(S20*PI()/180)</f>
        <v>0.68940983568122116</v>
      </c>
      <c r="U20" s="530">
        <f>N20+0.3*SIN(S20*PI()/180)</f>
        <v>-0.50862114920101664</v>
      </c>
      <c r="V20" s="849">
        <v>404900</v>
      </c>
      <c r="W20" s="780">
        <f>F20</f>
        <v>363883</v>
      </c>
      <c r="X20" s="778">
        <f t="shared" si="2"/>
        <v>5.3353156872615548E-2</v>
      </c>
      <c r="Y20" s="550">
        <f t="shared" si="3"/>
        <v>384391.5</v>
      </c>
      <c r="Z20" s="82">
        <f t="shared" si="4"/>
        <v>27.208333333328483</v>
      </c>
      <c r="AA20" s="1020" t="s">
        <v>146</v>
      </c>
      <c r="AB20" s="863">
        <f>(C30-C15)/7.5</f>
        <v>27.511111111110459</v>
      </c>
      <c r="AC20" s="1021" t="s">
        <v>148</v>
      </c>
      <c r="AD20" s="26"/>
      <c r="AF20" s="509"/>
      <c r="AK20" s="537">
        <v>404900</v>
      </c>
      <c r="AL20" s="542"/>
    </row>
    <row r="21" spans="1:38" x14ac:dyDescent="0.2">
      <c r="A21" s="970">
        <v>39670.833333333336</v>
      </c>
      <c r="B21" s="324">
        <v>20</v>
      </c>
      <c r="C21" s="307">
        <f t="shared" si="5"/>
        <v>223.83</v>
      </c>
      <c r="D21" s="1031"/>
      <c r="E21" s="626">
        <v>404556</v>
      </c>
      <c r="F21" s="328"/>
      <c r="G21" s="783"/>
      <c r="H21" s="775">
        <v>240.41</v>
      </c>
      <c r="I21" s="435"/>
      <c r="J21" s="417">
        <f>H21+B21/24*(252.28-H21)</f>
        <v>250.30166666666668</v>
      </c>
      <c r="K21" s="900">
        <v>138.69999999999999</v>
      </c>
      <c r="L21" s="321">
        <f t="shared" si="6"/>
        <v>-41.300000000000011</v>
      </c>
      <c r="M21" s="322">
        <f t="shared" si="0"/>
        <v>0.75126413350351096</v>
      </c>
      <c r="N21" s="323">
        <f t="shared" si="1"/>
        <v>-0.66000166796093696</v>
      </c>
      <c r="O21" s="311"/>
      <c r="P21" s="947"/>
      <c r="Q21" s="370">
        <f>M21+0.2*COS(J21*PI()/180)</f>
        <v>0.68385055910102321</v>
      </c>
      <c r="R21" s="371">
        <f>N21+0.2*SIN(J21*PI()/180)</f>
        <v>-0.84829773798439834</v>
      </c>
      <c r="S21" s="418"/>
      <c r="T21" s="370"/>
      <c r="U21" s="531"/>
      <c r="V21" s="550">
        <f>E21</f>
        <v>404556</v>
      </c>
      <c r="W21" s="851">
        <v>366000</v>
      </c>
      <c r="X21" s="778">
        <f t="shared" si="2"/>
        <v>5.0036596950773206E-2</v>
      </c>
      <c r="Y21" s="144">
        <f t="shared" si="3"/>
        <v>385278</v>
      </c>
      <c r="Z21" s="82">
        <f t="shared" si="4"/>
        <v>27.791666666664241</v>
      </c>
      <c r="AC21" s="35"/>
      <c r="AD21" s="26"/>
      <c r="AF21" s="509"/>
      <c r="AK21" s="543"/>
      <c r="AL21" s="527">
        <v>366000</v>
      </c>
    </row>
    <row r="22" spans="1:38" x14ac:dyDescent="0.2">
      <c r="A22" s="969">
        <v>39686.166666666664</v>
      </c>
      <c r="B22" s="330">
        <v>4</v>
      </c>
      <c r="C22" s="301">
        <f t="shared" si="5"/>
        <v>239.1633333333285</v>
      </c>
      <c r="D22" s="1032">
        <f>D20+1</f>
        <v>10</v>
      </c>
      <c r="E22" s="762"/>
      <c r="F22" s="331">
        <v>368696</v>
      </c>
      <c r="G22" s="656"/>
      <c r="H22" s="303">
        <v>89.81</v>
      </c>
      <c r="I22" s="322">
        <f>H22+B22/24*(104.09-H22)</f>
        <v>92.19</v>
      </c>
      <c r="J22" s="440"/>
      <c r="K22" s="902">
        <v>153.13</v>
      </c>
      <c r="L22" s="302">
        <f t="shared" si="6"/>
        <v>-26.870000000000005</v>
      </c>
      <c r="M22" s="303">
        <f t="shared" si="0"/>
        <v>0.89203430160854824</v>
      </c>
      <c r="N22" s="304">
        <f t="shared" si="1"/>
        <v>-0.45196770321976498</v>
      </c>
      <c r="O22" s="305">
        <f>M22+0.3*COS(I22*PI()/180)</f>
        <v>0.88057028034138396</v>
      </c>
      <c r="P22" s="342">
        <f>N22+0.3*SIN(I22*PI()/180)</f>
        <v>-0.1521868228814986</v>
      </c>
      <c r="Q22" s="441"/>
      <c r="R22" s="363"/>
      <c r="S22" s="500">
        <f>50+360*C22/(8.85*365.24)</f>
        <v>76.636397892075067</v>
      </c>
      <c r="T22" s="365">
        <f>M22+0.3*COS(S22*PI()/180)</f>
        <v>0.96137326806707246</v>
      </c>
      <c r="U22" s="530">
        <f>N22+0.3*SIN(S22*PI()/180)</f>
        <v>-0.16009083238128341</v>
      </c>
      <c r="V22" s="846">
        <v>404200</v>
      </c>
      <c r="W22" s="780">
        <f>F22</f>
        <v>368696</v>
      </c>
      <c r="X22" s="778">
        <f t="shared" si="2"/>
        <v>4.5936322610027738E-2</v>
      </c>
      <c r="Y22" s="144">
        <f t="shared" si="3"/>
        <v>386448</v>
      </c>
      <c r="Z22" s="82">
        <f t="shared" si="4"/>
        <v>24.95833333333573</v>
      </c>
      <c r="AA22" s="2"/>
      <c r="AB22" s="2"/>
      <c r="AC22" s="557"/>
      <c r="AD22" s="26"/>
      <c r="AF22" s="509"/>
      <c r="AK22" s="535">
        <v>404200</v>
      </c>
      <c r="AL22" s="540"/>
    </row>
    <row r="23" spans="1:38" x14ac:dyDescent="0.2">
      <c r="A23" s="972">
        <v>39698.625</v>
      </c>
      <c r="B23" s="332">
        <v>15</v>
      </c>
      <c r="C23" s="333">
        <f t="shared" si="5"/>
        <v>251.62166666666425</v>
      </c>
      <c r="D23" s="1035"/>
      <c r="E23" s="765">
        <v>404214</v>
      </c>
      <c r="F23" s="334"/>
      <c r="G23" s="785"/>
      <c r="H23" s="336">
        <v>248.35</v>
      </c>
      <c r="I23" s="436"/>
      <c r="J23" s="439">
        <f>H23+B23/24*(260.62-H23)</f>
        <v>256.01875000000001</v>
      </c>
      <c r="K23" s="903">
        <v>165.72</v>
      </c>
      <c r="L23" s="335">
        <f t="shared" si="6"/>
        <v>-14.280000000000001</v>
      </c>
      <c r="M23" s="336">
        <f t="shared" si="0"/>
        <v>0.96910189128972857</v>
      </c>
      <c r="N23" s="337">
        <f t="shared" si="1"/>
        <v>-0.24666074738123839</v>
      </c>
      <c r="O23" s="338"/>
      <c r="P23" s="956"/>
      <c r="Q23" s="398">
        <f>M23+0.2*COS(J23*PI()/180)</f>
        <v>0.92078102046623367</v>
      </c>
      <c r="R23" s="413">
        <f>N23+0.2*SIN(J23*PI()/180)</f>
        <v>-0.44073571599609901</v>
      </c>
      <c r="S23" s="397"/>
      <c r="T23" s="398"/>
      <c r="U23" s="533"/>
      <c r="V23" s="425">
        <f>E23</f>
        <v>404214</v>
      </c>
      <c r="W23" s="852">
        <v>369600</v>
      </c>
      <c r="X23" s="778">
        <f t="shared" si="2"/>
        <v>4.4731679705975858E-2</v>
      </c>
      <c r="Y23" s="144">
        <f t="shared" si="3"/>
        <v>386907</v>
      </c>
      <c r="Z23" s="82">
        <f t="shared" si="4"/>
        <v>27.83333333333573</v>
      </c>
      <c r="AA23" s="346"/>
      <c r="AB23" s="423"/>
      <c r="AC23" s="423"/>
      <c r="AD23" s="26"/>
      <c r="AF23" s="509"/>
      <c r="AK23" s="546"/>
      <c r="AL23" s="538">
        <v>369600</v>
      </c>
    </row>
    <row r="24" spans="1:38" x14ac:dyDescent="0.2">
      <c r="A24" s="969">
        <v>39711.125</v>
      </c>
      <c r="B24" s="326">
        <v>3</v>
      </c>
      <c r="C24" s="301">
        <f t="shared" si="5"/>
        <v>264.12166666666423</v>
      </c>
      <c r="D24" s="1030">
        <f>D22+1</f>
        <v>11</v>
      </c>
      <c r="E24" s="761"/>
      <c r="F24" s="327">
        <v>368886</v>
      </c>
      <c r="G24" s="656"/>
      <c r="H24" s="431">
        <v>58.04</v>
      </c>
      <c r="I24" s="431">
        <f>H24+B24/24*(72.34-H24)</f>
        <v>59.827500000000001</v>
      </c>
      <c r="J24" s="440"/>
      <c r="K24" s="901">
        <v>177.4</v>
      </c>
      <c r="L24" s="321">
        <f t="shared" si="6"/>
        <v>-2.5999999999999943</v>
      </c>
      <c r="M24" s="322">
        <f t="shared" si="0"/>
        <v>0.99897056979071475</v>
      </c>
      <c r="N24" s="323">
        <f t="shared" si="1"/>
        <v>-4.5362988129253684E-2</v>
      </c>
      <c r="O24" s="305">
        <f>M24+0.3*COS(I24*PI()/180)</f>
        <v>1.1497520897649671</v>
      </c>
      <c r="P24" s="342">
        <f>N24+0.3*SIN(I24*PI()/180)</f>
        <v>0.2139918522617715</v>
      </c>
      <c r="Q24" s="441"/>
      <c r="R24" s="363"/>
      <c r="S24" s="500">
        <f>50+360*C24/(8.85*365.24)</f>
        <v>79.416088608558027</v>
      </c>
      <c r="T24" s="365">
        <f>M24+0.3*COS(S24*PI()/180)</f>
        <v>1.0540731705646118</v>
      </c>
      <c r="U24" s="530">
        <f>N24+0.3*SIN(S24*PI()/180)</f>
        <v>0.24953310100716145</v>
      </c>
      <c r="V24" s="849">
        <v>404400</v>
      </c>
      <c r="W24" s="780">
        <f>F24</f>
        <v>368886</v>
      </c>
      <c r="X24" s="778">
        <f t="shared" si="2"/>
        <v>4.5926086855316142E-2</v>
      </c>
      <c r="Y24" s="144">
        <f t="shared" si="3"/>
        <v>386643</v>
      </c>
      <c r="Z24" s="82">
        <f t="shared" si="4"/>
        <v>27.125</v>
      </c>
      <c r="AA24" s="35"/>
      <c r="AB24" s="366"/>
      <c r="AC24" s="366"/>
      <c r="AD24" s="26"/>
      <c r="AF24" s="509"/>
      <c r="AK24" s="537">
        <v>404400</v>
      </c>
      <c r="AL24" s="542"/>
    </row>
    <row r="25" spans="1:38" x14ac:dyDescent="0.2">
      <c r="A25" s="970">
        <v>39726.458333333336</v>
      </c>
      <c r="B25" s="324">
        <v>11</v>
      </c>
      <c r="C25" s="307">
        <f t="shared" si="5"/>
        <v>279.45499999999998</v>
      </c>
      <c r="D25" s="1031"/>
      <c r="E25" s="626">
        <v>404721</v>
      </c>
      <c r="F25" s="328"/>
      <c r="G25" s="783"/>
      <c r="H25" s="775">
        <v>256.27999999999997</v>
      </c>
      <c r="I25" s="432"/>
      <c r="J25" s="417">
        <f>H25+B25/24*(268.12-H25)</f>
        <v>261.70666666666665</v>
      </c>
      <c r="K25" s="900">
        <v>192.12</v>
      </c>
      <c r="L25" s="321">
        <f t="shared" si="6"/>
        <v>12.120000000000005</v>
      </c>
      <c r="M25" s="322">
        <f t="shared" si="0"/>
        <v>0.97771000650821194</v>
      </c>
      <c r="N25" s="323">
        <f t="shared" si="1"/>
        <v>0.20995986086324245</v>
      </c>
      <c r="O25" s="311"/>
      <c r="P25" s="947"/>
      <c r="Q25" s="370">
        <f>M25+0.2*COS(J25*PI()/180)</f>
        <v>0.94886179381413949</v>
      </c>
      <c r="R25" s="371">
        <f>N25+0.2*SIN(J25*PI()/180)</f>
        <v>1.2051345067793234E-2</v>
      </c>
      <c r="S25" s="418"/>
      <c r="T25" s="370"/>
      <c r="U25" s="531"/>
      <c r="V25" s="550">
        <f>E25</f>
        <v>404721</v>
      </c>
      <c r="W25" s="851">
        <v>366000</v>
      </c>
      <c r="X25" s="778">
        <f t="shared" si="2"/>
        <v>5.0239970105913814E-2</v>
      </c>
      <c r="Y25" s="550">
        <f t="shared" si="3"/>
        <v>385360.5</v>
      </c>
      <c r="Z25" s="82">
        <f t="shared" si="4"/>
        <v>27.75</v>
      </c>
      <c r="AA25" s="429"/>
      <c r="AB25" s="2"/>
      <c r="AC25" s="557"/>
      <c r="AD25" s="26"/>
      <c r="AF25" s="509"/>
      <c r="AK25" s="543"/>
      <c r="AL25" s="527">
        <v>366000</v>
      </c>
    </row>
    <row r="26" spans="1:38" x14ac:dyDescent="0.2">
      <c r="A26" s="969">
        <v>39738.25</v>
      </c>
      <c r="B26" s="326">
        <v>6</v>
      </c>
      <c r="C26" s="301">
        <f t="shared" si="5"/>
        <v>291.24666666666423</v>
      </c>
      <c r="D26" s="1030">
        <f>D24+1</f>
        <v>12</v>
      </c>
      <c r="E26" s="761"/>
      <c r="F26" s="327">
        <v>363823</v>
      </c>
      <c r="G26" s="656"/>
      <c r="H26" s="431">
        <v>53.59</v>
      </c>
      <c r="I26" s="431">
        <f>H26+B26/24*(68.33-H26)</f>
        <v>57.275000000000006</v>
      </c>
      <c r="J26" s="440"/>
      <c r="K26" s="901">
        <v>203.99</v>
      </c>
      <c r="L26" s="302">
        <f t="shared" si="6"/>
        <v>23.990000000000009</v>
      </c>
      <c r="M26" s="303">
        <f t="shared" si="0"/>
        <v>0.9136164326642493</v>
      </c>
      <c r="N26" s="304">
        <f t="shared" si="1"/>
        <v>0.40657719312063151</v>
      </c>
      <c r="O26" s="305">
        <f>M26+0.3*COS(I26*PI()/180)</f>
        <v>1.0757986668797006</v>
      </c>
      <c r="P26" s="342">
        <f>N26+0.3*SIN(I26*PI()/180)</f>
        <v>0.65895968638211833</v>
      </c>
      <c r="Q26" s="441"/>
      <c r="R26" s="363"/>
      <c r="S26" s="500">
        <f>50+360*C26/(8.85*365.24)</f>
        <v>82.437088034985777</v>
      </c>
      <c r="T26" s="365">
        <f>M26+0.3*COS(S26*PI()/180)</f>
        <v>0.95310085482144957</v>
      </c>
      <c r="U26" s="530">
        <f>N26+0.3*SIN(S26*PI()/180)</f>
        <v>0.70396747609388532</v>
      </c>
      <c r="V26" s="846">
        <v>405100</v>
      </c>
      <c r="W26" s="780">
        <f>F26</f>
        <v>363823</v>
      </c>
      <c r="X26" s="778">
        <f t="shared" si="2"/>
        <v>5.3681577999357542E-2</v>
      </c>
      <c r="Y26" s="550">
        <f t="shared" si="3"/>
        <v>384461.5</v>
      </c>
      <c r="Z26" s="82">
        <f t="shared" si="4"/>
        <v>28.166666666664241</v>
      </c>
      <c r="AA26" s="346"/>
      <c r="AB26" s="423"/>
      <c r="AC26" s="423"/>
      <c r="AD26" s="26"/>
      <c r="AF26" s="509"/>
      <c r="AK26" s="535">
        <v>405100</v>
      </c>
      <c r="AL26" s="540"/>
    </row>
    <row r="27" spans="1:38" x14ac:dyDescent="0.2">
      <c r="A27" s="970">
        <v>39754.208333333336</v>
      </c>
      <c r="B27" s="324">
        <v>5</v>
      </c>
      <c r="C27" s="307">
        <f t="shared" si="5"/>
        <v>307.20499999999998</v>
      </c>
      <c r="D27" s="1031"/>
      <c r="E27" s="626">
        <v>405724</v>
      </c>
      <c r="F27" s="328"/>
      <c r="G27" s="783"/>
      <c r="H27" s="775">
        <v>264.48</v>
      </c>
      <c r="I27" s="435"/>
      <c r="J27" s="417">
        <f>H27+B27/24*(276.28-H27)</f>
        <v>266.93833333333333</v>
      </c>
      <c r="K27" s="900">
        <v>219.94</v>
      </c>
      <c r="L27" s="308">
        <f t="shared" si="6"/>
        <v>39.94</v>
      </c>
      <c r="M27" s="309">
        <f t="shared" si="0"/>
        <v>0.76671714857592521</v>
      </c>
      <c r="N27" s="310">
        <f t="shared" si="1"/>
        <v>0.64198505752050228</v>
      </c>
      <c r="O27" s="311"/>
      <c r="P27" s="947"/>
      <c r="Q27" s="370">
        <f>M27+0.2*COS(J27*PI()/180)</f>
        <v>0.75603500115959565</v>
      </c>
      <c r="R27" s="371">
        <f>N27+0.2*SIN(J27*PI()/180)</f>
        <v>0.44227053194317778</v>
      </c>
      <c r="S27" s="418"/>
      <c r="T27" s="370"/>
      <c r="U27" s="531"/>
      <c r="V27" s="426">
        <f>E27</f>
        <v>405724</v>
      </c>
      <c r="W27" s="847">
        <v>361000</v>
      </c>
      <c r="X27" s="778">
        <f t="shared" si="2"/>
        <v>5.8331290007877672E-2</v>
      </c>
      <c r="Y27" s="144">
        <f t="shared" si="3"/>
        <v>383362</v>
      </c>
      <c r="Z27" s="82">
        <f t="shared" si="4"/>
        <v>27.5</v>
      </c>
      <c r="AA27" s="346"/>
      <c r="AB27" s="346"/>
      <c r="AC27" s="346"/>
      <c r="AD27" s="26"/>
      <c r="AF27" s="509"/>
      <c r="AK27" s="541"/>
      <c r="AL27" s="534">
        <v>361000</v>
      </c>
    </row>
    <row r="28" spans="1:38" x14ac:dyDescent="0.2">
      <c r="A28" s="969">
        <v>39766.416666666664</v>
      </c>
      <c r="B28" s="326">
        <v>10</v>
      </c>
      <c r="C28" s="301">
        <f t="shared" si="5"/>
        <v>319.41333333332847</v>
      </c>
      <c r="D28" s="1030">
        <f>D26+1</f>
        <v>13</v>
      </c>
      <c r="E28" s="761"/>
      <c r="F28" s="327">
        <v>358971</v>
      </c>
      <c r="G28" s="656"/>
      <c r="H28" s="431">
        <v>62.4</v>
      </c>
      <c r="I28" s="434">
        <f>H28+B28/24*(77.55-H28)</f>
        <v>68.712500000000006</v>
      </c>
      <c r="J28" s="440"/>
      <c r="K28" s="901">
        <v>231.98</v>
      </c>
      <c r="L28" s="321">
        <f t="shared" si="6"/>
        <v>51.97999999999999</v>
      </c>
      <c r="M28" s="322">
        <f t="shared" si="0"/>
        <v>0.61593650545566203</v>
      </c>
      <c r="N28" s="323">
        <f t="shared" si="1"/>
        <v>0.78779579920628362</v>
      </c>
      <c r="O28" s="305">
        <f>M28+0.3*COS(I28*PI()/180)</f>
        <v>0.72485089295636784</v>
      </c>
      <c r="P28" s="342">
        <f>N28+0.3*SIN(I28*PI()/180)</f>
        <v>1.0673269355674162</v>
      </c>
      <c r="Q28" s="441"/>
      <c r="R28" s="363"/>
      <c r="S28" s="500">
        <f>50+360*C28/(8.85*365.24)</f>
        <v>85.574101264271476</v>
      </c>
      <c r="T28" s="365">
        <f>M28+0.3*COS(S28*PI()/180)</f>
        <v>0.63908741733808405</v>
      </c>
      <c r="U28" s="530">
        <f>N28+0.3*SIN(S28*PI()/180)</f>
        <v>1.0869011907976294</v>
      </c>
      <c r="V28" s="849">
        <v>406100</v>
      </c>
      <c r="W28" s="780">
        <f>F28</f>
        <v>358971</v>
      </c>
      <c r="X28" s="778">
        <f t="shared" si="2"/>
        <v>6.1600818747541079E-2</v>
      </c>
      <c r="Y28" s="550">
        <f t="shared" si="3"/>
        <v>382535.5</v>
      </c>
      <c r="Z28" s="82">
        <f t="shared" si="4"/>
        <v>28.5</v>
      </c>
      <c r="AA28" s="680"/>
      <c r="AB28" s="680"/>
      <c r="AC28" s="557"/>
      <c r="AD28" s="26"/>
      <c r="AF28" s="509"/>
      <c r="AK28" s="537">
        <v>406100</v>
      </c>
      <c r="AL28" s="542"/>
    </row>
    <row r="29" spans="1:38" x14ac:dyDescent="0.2">
      <c r="A29" s="970">
        <v>39781.708333333336</v>
      </c>
      <c r="B29" s="324">
        <v>17</v>
      </c>
      <c r="C29" s="575">
        <f t="shared" si="5"/>
        <v>334.70499999999998</v>
      </c>
      <c r="D29" s="1031"/>
      <c r="E29" s="626">
        <v>406480</v>
      </c>
      <c r="F29" s="328"/>
      <c r="G29" s="783"/>
      <c r="H29" s="775">
        <v>261.23</v>
      </c>
      <c r="I29" s="437"/>
      <c r="J29" s="417">
        <f>H29+B29/24*(273.05-H29)</f>
        <v>269.60250000000002</v>
      </c>
      <c r="K29" s="900">
        <v>248.15</v>
      </c>
      <c r="L29" s="321">
        <f t="shared" si="6"/>
        <v>68.150000000000006</v>
      </c>
      <c r="M29" s="322">
        <f t="shared" si="0"/>
        <v>0.37217795077787158</v>
      </c>
      <c r="N29" s="323">
        <f t="shared" si="1"/>
        <v>0.92816139380755558</v>
      </c>
      <c r="O29" s="311"/>
      <c r="P29" s="947"/>
      <c r="Q29" s="370">
        <f>M29+0.2*COS(J29*PI()/180)</f>
        <v>0.37079042515320348</v>
      </c>
      <c r="R29" s="371">
        <f>N29+0.2*SIN(J29*PI()/180)</f>
        <v>0.7281662069338688</v>
      </c>
      <c r="S29" s="418"/>
      <c r="T29" s="370"/>
      <c r="U29" s="531"/>
      <c r="V29" s="550">
        <f>E29</f>
        <v>406480</v>
      </c>
      <c r="W29" s="851">
        <v>357400</v>
      </c>
      <c r="X29" s="778">
        <f t="shared" si="2"/>
        <v>6.4250929465361054E-2</v>
      </c>
      <c r="Y29" s="144">
        <f t="shared" si="3"/>
        <v>381940</v>
      </c>
      <c r="Z29" s="82">
        <f t="shared" si="4"/>
        <v>27.041666666664241</v>
      </c>
      <c r="AA29" s="346"/>
      <c r="AB29" s="423"/>
      <c r="AC29" s="423"/>
      <c r="AD29" s="26"/>
      <c r="AF29" s="509"/>
      <c r="AK29" s="543"/>
      <c r="AL29" s="527">
        <v>357400</v>
      </c>
    </row>
    <row r="30" spans="1:38" x14ac:dyDescent="0.2">
      <c r="A30" s="971">
        <v>39794.916666666664</v>
      </c>
      <c r="B30" s="1256">
        <v>22</v>
      </c>
      <c r="C30" s="301">
        <f t="shared" si="5"/>
        <v>347.91333333332847</v>
      </c>
      <c r="D30" s="1036">
        <f>D28+1</f>
        <v>14</v>
      </c>
      <c r="E30" s="766"/>
      <c r="F30" s="407">
        <v>356566</v>
      </c>
      <c r="G30" s="784"/>
      <c r="H30" s="498">
        <v>70.430000000000007</v>
      </c>
      <c r="I30" s="505">
        <f>H30+B30/24*(85.75-H30)</f>
        <v>84.473333333333329</v>
      </c>
      <c r="J30" s="444"/>
      <c r="K30" s="898">
        <v>261.33999999999997</v>
      </c>
      <c r="L30" s="497">
        <f t="shared" si="6"/>
        <v>81.339999999999975</v>
      </c>
      <c r="M30" s="412">
        <f t="shared" si="0"/>
        <v>0.15057068452350825</v>
      </c>
      <c r="N30" s="498">
        <f t="shared" si="1"/>
        <v>0.98859924588385262</v>
      </c>
      <c r="O30" s="408">
        <f>M30+0.3*COS(I30*PI()/180)</f>
        <v>0.17946339068847411</v>
      </c>
      <c r="P30" s="957">
        <f>N30+0.3*SIN(I30*PI()/180)</f>
        <v>1.2872046904599102</v>
      </c>
      <c r="Q30" s="581"/>
      <c r="R30" s="410"/>
      <c r="S30" s="580">
        <f>50+360*C30/(8.85*365.24)</f>
        <v>88.748238910472068</v>
      </c>
      <c r="T30" s="412">
        <f>M30+0.3*COS(S30*PI()/180)</f>
        <v>0.15712436887963058</v>
      </c>
      <c r="U30" s="532">
        <f>N30+0.3*SIN(S30*PI()/180)</f>
        <v>1.2885276527101488</v>
      </c>
      <c r="V30" s="553">
        <v>406600</v>
      </c>
      <c r="W30" s="780">
        <f>F30</f>
        <v>356566</v>
      </c>
      <c r="X30" s="778">
        <f t="shared" si="2"/>
        <v>6.5561096799385724E-2</v>
      </c>
      <c r="Y30" s="144">
        <f t="shared" si="3"/>
        <v>381583</v>
      </c>
      <c r="Z30" s="82">
        <f t="shared" si="4"/>
        <v>28.541666666671517</v>
      </c>
      <c r="AA30" s="346"/>
      <c r="AB30" s="346"/>
      <c r="AC30" s="346"/>
      <c r="AD30" s="26"/>
      <c r="AF30" s="509"/>
      <c r="AK30" s="539">
        <v>406600</v>
      </c>
      <c r="AL30" s="547"/>
    </row>
    <row r="31" spans="1:38" x14ac:dyDescent="0.2">
      <c r="A31" s="974">
        <v>39808.75</v>
      </c>
      <c r="B31" s="415">
        <v>18</v>
      </c>
      <c r="C31" s="307">
        <f t="shared" si="5"/>
        <v>361.74666666666423</v>
      </c>
      <c r="D31" s="494"/>
      <c r="E31" s="767">
        <v>406601</v>
      </c>
      <c r="F31" s="416"/>
      <c r="G31" s="783"/>
      <c r="H31" s="419">
        <v>258.2</v>
      </c>
      <c r="I31" s="495"/>
      <c r="J31" s="417">
        <f>H31+B31/24*(270.03-H31)</f>
        <v>267.07249999999999</v>
      </c>
      <c r="K31" s="905">
        <v>275.60000000000002</v>
      </c>
      <c r="L31" s="418">
        <f>K31-180</f>
        <v>95.600000000000023</v>
      </c>
      <c r="M31" s="370">
        <f t="shared" si="0"/>
        <v>-9.7582899759149772E-2</v>
      </c>
      <c r="N31" s="419">
        <f t="shared" si="1"/>
        <v>0.99522739998183118</v>
      </c>
      <c r="O31" s="367"/>
      <c r="P31" s="943"/>
      <c r="Q31" s="370">
        <f>M31+0.2*COS(J31*PI()/180)</f>
        <v>-0.1077973567812921</v>
      </c>
      <c r="R31" s="371">
        <f>N31+0.2*SIN(J31*PI()/180)</f>
        <v>0.79548840812560195</v>
      </c>
      <c r="S31" s="418"/>
      <c r="T31" s="370"/>
      <c r="U31" s="531"/>
      <c r="V31" s="427">
        <f>E31</f>
        <v>406601</v>
      </c>
      <c r="W31" s="853">
        <v>356600</v>
      </c>
      <c r="X31" s="778">
        <f t="shared" si="2"/>
        <v>6.5514851264607876E-2</v>
      </c>
      <c r="Y31" s="550">
        <f t="shared" si="3"/>
        <v>381600.5</v>
      </c>
      <c r="Z31" s="82">
        <f t="shared" si="4"/>
        <v>27.25</v>
      </c>
      <c r="AA31" s="346"/>
      <c r="AB31" s="346"/>
      <c r="AC31" s="346"/>
      <c r="AD31" s="26"/>
      <c r="AF31" s="509"/>
      <c r="AK31" s="541"/>
      <c r="AL31" s="494">
        <v>356600</v>
      </c>
    </row>
    <row r="32" spans="1:38" x14ac:dyDescent="0.2">
      <c r="A32" s="969">
        <v>39823.458333333336</v>
      </c>
      <c r="B32" s="339">
        <v>11</v>
      </c>
      <c r="C32" s="301">
        <f t="shared" si="5"/>
        <v>376.45499999999998</v>
      </c>
      <c r="D32" s="1032">
        <v>15</v>
      </c>
      <c r="E32" s="768"/>
      <c r="F32" s="340">
        <v>357497</v>
      </c>
      <c r="G32" s="656"/>
      <c r="H32" s="323">
        <v>93.65</v>
      </c>
      <c r="I32" s="438">
        <f>H32+B32/24*(108.86-H32)</f>
        <v>100.62125</v>
      </c>
      <c r="J32" s="440"/>
      <c r="K32" s="902">
        <v>290.38</v>
      </c>
      <c r="L32" s="341">
        <f>K32-180</f>
        <v>110.38</v>
      </c>
      <c r="M32" s="342">
        <f t="shared" si="0"/>
        <v>-0.34824485295751056</v>
      </c>
      <c r="N32" s="323">
        <f t="shared" si="1"/>
        <v>0.93740360698506053</v>
      </c>
      <c r="O32" s="305">
        <f>M32+0.3*COS(I32*PI()/180)</f>
        <v>-0.40353962038921593</v>
      </c>
      <c r="P32" s="342">
        <f>N32+0.3*SIN(I32*PI()/180)</f>
        <v>1.2322637241502574</v>
      </c>
      <c r="Q32" s="441"/>
      <c r="R32" s="363"/>
      <c r="S32" s="500">
        <f>50+360*C32/(8.85*365.24)</f>
        <v>91.927017108787538</v>
      </c>
      <c r="T32" s="365">
        <f>M32+0.3*COS(S32*PI()/180)</f>
        <v>-0.35833278884070585</v>
      </c>
      <c r="U32" s="530">
        <f>N32+0.3*SIN(S32*PI()/180)</f>
        <v>1.2372339482609505</v>
      </c>
      <c r="V32" s="849">
        <v>406400</v>
      </c>
      <c r="W32" s="780">
        <f>F32</f>
        <v>357497</v>
      </c>
      <c r="X32" s="778">
        <f t="shared" si="2"/>
        <v>6.4017792974707319E-2</v>
      </c>
      <c r="Y32" s="550">
        <f t="shared" si="3"/>
        <v>381948.5</v>
      </c>
      <c r="Z32" s="82"/>
      <c r="AA32" s="35"/>
      <c r="AB32" s="366"/>
      <c r="AC32" s="366"/>
      <c r="AD32" s="26"/>
      <c r="AF32" s="509"/>
      <c r="AK32" s="544">
        <v>406400</v>
      </c>
      <c r="AL32" s="540"/>
    </row>
    <row r="33" spans="1:38" ht="12" customHeight="1" thickBot="1" x14ac:dyDescent="0.25">
      <c r="A33" s="975">
        <v>39836</v>
      </c>
      <c r="B33" s="1037">
        <v>0</v>
      </c>
      <c r="C33" s="1038">
        <f t="shared" si="5"/>
        <v>388.99666666666423</v>
      </c>
      <c r="D33" s="1039"/>
      <c r="E33" s="769">
        <v>406118</v>
      </c>
      <c r="F33" s="770"/>
      <c r="G33" s="656"/>
      <c r="H33" s="322">
        <v>266.89999999999998</v>
      </c>
      <c r="I33" s="1304"/>
      <c r="J33" s="1305"/>
      <c r="K33" s="1306">
        <v>303.11</v>
      </c>
      <c r="L33" s="321">
        <f>K33-180</f>
        <v>123.11000000000001</v>
      </c>
      <c r="M33" s="322">
        <f t="shared" si="0"/>
        <v>-0.54624816219418426</v>
      </c>
      <c r="N33" s="323">
        <f t="shared" si="1"/>
        <v>0.83762339108902406</v>
      </c>
      <c r="O33" s="343"/>
      <c r="P33" s="953"/>
      <c r="Q33" s="930">
        <f>M33+0.2*COS(J33*PI()/180)</f>
        <v>-0.34624816219418425</v>
      </c>
      <c r="R33" s="372">
        <f>N33+0.2*SIN(J33*PI()/180)</f>
        <v>0.83762339108902406</v>
      </c>
      <c r="S33" s="500"/>
      <c r="T33" s="441"/>
      <c r="U33" s="576"/>
      <c r="V33" s="550">
        <f>E33</f>
        <v>406118</v>
      </c>
      <c r="W33" s="779"/>
      <c r="X33" s="778">
        <f t="shared" si="2"/>
        <v>1</v>
      </c>
      <c r="Y33" s="682"/>
      <c r="Z33" s="868"/>
      <c r="AA33" s="35"/>
      <c r="AB33" s="346"/>
      <c r="AC33" s="346"/>
      <c r="AD33" s="860"/>
      <c r="AF33" s="346"/>
      <c r="AG33" s="345"/>
      <c r="AH33" s="345"/>
      <c r="AI33" s="345"/>
      <c r="AK33" s="31"/>
      <c r="AL33" s="11"/>
    </row>
    <row r="34" spans="1:38" ht="13.5" thickBot="1" x14ac:dyDescent="0.25">
      <c r="A34" s="3"/>
      <c r="B34" s="1356"/>
      <c r="C34" s="1356"/>
      <c r="D34" s="1356"/>
      <c r="E34" s="1356"/>
      <c r="F34" s="1356"/>
      <c r="G34" s="1401" t="s">
        <v>107</v>
      </c>
      <c r="H34" s="1402"/>
      <c r="I34" s="1402"/>
      <c r="J34" s="1402"/>
      <c r="K34" s="1402"/>
      <c r="L34" s="1402"/>
      <c r="M34" s="1372">
        <f>C23-C8</f>
        <v>206.58333333333576</v>
      </c>
      <c r="N34" s="1373"/>
      <c r="O34" s="503"/>
      <c r="P34" s="502"/>
      <c r="Q34" s="502"/>
      <c r="R34" s="679"/>
      <c r="S34" s="1374" t="s">
        <v>119</v>
      </c>
      <c r="T34" s="1375"/>
      <c r="U34" s="1375"/>
      <c r="V34" s="1375"/>
      <c r="W34" s="1375"/>
      <c r="X34" s="875">
        <f xml:space="preserve"> AVERAGE(X8:X23)</f>
        <v>5.5072695607222305E-2</v>
      </c>
      <c r="Y34" s="405"/>
      <c r="Z34" s="866"/>
      <c r="AA34" s="423"/>
      <c r="AB34" s="35"/>
      <c r="AC34" s="35"/>
      <c r="AD34" s="864"/>
      <c r="AE34" s="35"/>
      <c r="AF34" s="346"/>
      <c r="AG34" s="345"/>
    </row>
    <row r="35" spans="1:38" ht="13.5" thickBot="1" x14ac:dyDescent="0.25">
      <c r="B35" s="1351" t="s">
        <v>187</v>
      </c>
      <c r="C35" s="1352"/>
      <c r="D35" s="1352"/>
      <c r="E35" s="1353"/>
      <c r="F35" s="1106"/>
      <c r="G35" s="1399" t="s">
        <v>118</v>
      </c>
      <c r="H35" s="1400"/>
      <c r="I35" s="1400"/>
      <c r="J35" s="1400"/>
      <c r="K35" s="1400"/>
      <c r="L35" s="1400"/>
      <c r="M35" s="1370">
        <f>C30-C15</f>
        <v>206.33333333332845</v>
      </c>
      <c r="N35" s="1371"/>
      <c r="O35" s="492"/>
      <c r="P35" s="504"/>
      <c r="Q35" s="504"/>
      <c r="R35" s="655"/>
      <c r="S35" s="492"/>
      <c r="T35" s="504"/>
      <c r="U35" s="1336" t="s">
        <v>120</v>
      </c>
      <c r="V35" s="1336"/>
      <c r="W35" s="1336"/>
      <c r="X35" s="348">
        <f xml:space="preserve"> AVERAGE(X15:X30)</f>
        <v>5.6475849613826554E-2</v>
      </c>
      <c r="Y35" s="867"/>
      <c r="Z35" s="501"/>
      <c r="AA35" s="341"/>
      <c r="AB35" s="35"/>
      <c r="AC35" s="35"/>
      <c r="AD35" s="858"/>
      <c r="AE35" s="346"/>
      <c r="AF35" s="346"/>
      <c r="AG35" s="346"/>
    </row>
    <row r="36" spans="1:38" x14ac:dyDescent="0.2">
      <c r="A36" s="668"/>
      <c r="B36" s="1121" t="s">
        <v>10</v>
      </c>
      <c r="C36" s="676" t="s">
        <v>11</v>
      </c>
      <c r="D36" s="671" t="s">
        <v>10</v>
      </c>
      <c r="E36" s="677" t="s">
        <v>11</v>
      </c>
      <c r="F36" s="345"/>
      <c r="G36" s="345"/>
      <c r="H36" s="345"/>
      <c r="I36" s="346"/>
      <c r="J36" s="346"/>
      <c r="K36" s="1396" t="s">
        <v>131</v>
      </c>
      <c r="L36" s="1397"/>
      <c r="M36" s="1397"/>
      <c r="N36" s="1397"/>
      <c r="O36" s="1398"/>
      <c r="P36" s="345"/>
      <c r="Q36" s="886"/>
      <c r="R36" s="886"/>
      <c r="S36" s="886"/>
      <c r="T36" s="345"/>
      <c r="U36" s="1376" t="s">
        <v>130</v>
      </c>
      <c r="V36" s="1377"/>
      <c r="W36" s="1378"/>
      <c r="X36" s="887"/>
      <c r="Y36" s="887"/>
      <c r="Z36" s="423"/>
      <c r="AA36" s="35"/>
      <c r="AB36" s="35"/>
      <c r="AC36" s="35"/>
      <c r="AD36" s="35"/>
      <c r="AE36" s="35"/>
      <c r="AF36" s="346"/>
      <c r="AG36" s="346"/>
    </row>
    <row r="37" spans="1:38" x14ac:dyDescent="0.2">
      <c r="A37" s="667"/>
      <c r="B37" s="1115">
        <v>45</v>
      </c>
      <c r="C37" s="1122">
        <v>24</v>
      </c>
      <c r="D37" s="1110">
        <v>252</v>
      </c>
      <c r="E37" s="1112">
        <v>24</v>
      </c>
      <c r="F37" s="345"/>
      <c r="G37" s="345"/>
      <c r="H37" s="345"/>
      <c r="I37" s="885"/>
      <c r="J37" s="885"/>
      <c r="K37" s="668"/>
      <c r="L37" s="676" t="s">
        <v>10</v>
      </c>
      <c r="M37" s="676" t="s">
        <v>11</v>
      </c>
      <c r="N37" s="671" t="s">
        <v>10</v>
      </c>
      <c r="O37" s="677" t="s">
        <v>11</v>
      </c>
      <c r="P37" s="345"/>
      <c r="Q37" s="346"/>
      <c r="R37" s="660"/>
      <c r="S37" s="660"/>
      <c r="T37" s="345"/>
      <c r="U37" s="658" t="s">
        <v>10</v>
      </c>
      <c r="V37" s="659" t="s">
        <v>11</v>
      </c>
      <c r="W37" s="351"/>
      <c r="X37" s="284"/>
      <c r="Y37" s="346"/>
      <c r="Z37" s="887"/>
      <c r="AA37" s="35"/>
      <c r="AB37" s="35"/>
      <c r="AC37" s="35"/>
      <c r="AD37" s="35"/>
      <c r="AE37" s="346"/>
      <c r="AF37" s="346"/>
      <c r="AG37" s="346"/>
    </row>
    <row r="38" spans="1:38" x14ac:dyDescent="0.2">
      <c r="A38" s="667"/>
      <c r="B38" s="1108">
        <v>45</v>
      </c>
      <c r="C38" s="1123">
        <v>70</v>
      </c>
      <c r="D38" s="1110">
        <v>252</v>
      </c>
      <c r="E38" s="1111">
        <v>85</v>
      </c>
      <c r="F38" s="345"/>
      <c r="G38" s="1113"/>
      <c r="H38" s="345"/>
      <c r="I38" s="346"/>
      <c r="J38" s="347"/>
      <c r="K38" s="667"/>
      <c r="L38" s="672">
        <f>M15</f>
        <v>-0.4951554286552266</v>
      </c>
      <c r="M38" s="662">
        <f>N15</f>
        <v>-0.86880440921605528</v>
      </c>
      <c r="N38" s="675">
        <f>M8</f>
        <v>-0.81573397049902774</v>
      </c>
      <c r="O38" s="669">
        <f>N8</f>
        <v>0.57842725504067616</v>
      </c>
      <c r="P38" s="345"/>
      <c r="Q38" s="346"/>
      <c r="R38" s="678"/>
      <c r="S38" s="678"/>
      <c r="T38" s="345"/>
      <c r="U38" s="652">
        <f>C8</f>
        <v>45.038333333328481</v>
      </c>
      <c r="V38" s="656">
        <f>X34</f>
        <v>5.5072695607222305E-2</v>
      </c>
      <c r="W38" s="654"/>
      <c r="Y38" s="345"/>
      <c r="Z38" s="345"/>
      <c r="AA38" s="345"/>
      <c r="AB38" s="345"/>
      <c r="AC38" s="345"/>
      <c r="AD38" s="345"/>
      <c r="AE38" s="345"/>
      <c r="AF38" s="345"/>
      <c r="AG38" s="346"/>
    </row>
    <row r="39" spans="1:38" ht="13.5" thickBot="1" x14ac:dyDescent="0.25">
      <c r="A39" s="3"/>
      <c r="B39" s="1116">
        <v>142</v>
      </c>
      <c r="C39" s="1124">
        <v>222</v>
      </c>
      <c r="D39" s="1114">
        <v>348</v>
      </c>
      <c r="E39" s="1117">
        <v>222</v>
      </c>
      <c r="F39" s="345"/>
      <c r="G39" s="1113"/>
      <c r="H39" s="345"/>
      <c r="I39" s="1257">
        <f>C30-C15</f>
        <v>206.33333333332845</v>
      </c>
      <c r="J39" s="346"/>
      <c r="K39" s="667"/>
      <c r="L39" s="673">
        <v>0</v>
      </c>
      <c r="M39" s="664">
        <v>0</v>
      </c>
      <c r="N39" s="673">
        <v>0</v>
      </c>
      <c r="O39" s="358">
        <v>0</v>
      </c>
      <c r="P39" s="345"/>
      <c r="Q39" s="346"/>
      <c r="R39" s="678"/>
      <c r="S39" s="678"/>
      <c r="T39" s="345"/>
      <c r="U39" s="653">
        <f>C23</f>
        <v>251.62166666666425</v>
      </c>
      <c r="V39" s="657">
        <f>X34</f>
        <v>5.5072695607222305E-2</v>
      </c>
      <c r="W39" s="655"/>
    </row>
    <row r="40" spans="1:38" ht="13.5" thickBot="1" x14ac:dyDescent="0.25">
      <c r="A40" s="345"/>
      <c r="B40" s="1116">
        <v>142</v>
      </c>
      <c r="C40" s="1125">
        <v>275</v>
      </c>
      <c r="D40" s="1109">
        <v>348</v>
      </c>
      <c r="E40" s="1107">
        <v>275</v>
      </c>
      <c r="K40" s="140"/>
      <c r="L40" s="674">
        <f>M30</f>
        <v>0.15057068452350825</v>
      </c>
      <c r="M40" s="670">
        <f>N30</f>
        <v>0.98859924588385262</v>
      </c>
      <c r="N40" s="674">
        <f>M23</f>
        <v>0.96910189128972857</v>
      </c>
      <c r="O40" s="359">
        <f>N23</f>
        <v>-0.24666074738123839</v>
      </c>
    </row>
    <row r="41" spans="1:38" x14ac:dyDescent="0.2">
      <c r="A41" s="345"/>
      <c r="B41" s="1115">
        <v>45</v>
      </c>
      <c r="C41" s="1122">
        <v>25</v>
      </c>
      <c r="D41" s="1110">
        <v>142</v>
      </c>
      <c r="E41" s="1112">
        <v>230</v>
      </c>
    </row>
    <row r="42" spans="1:38" ht="13.5" thickBot="1" x14ac:dyDescent="0.25">
      <c r="A42" s="345"/>
      <c r="B42" s="1118">
        <v>252</v>
      </c>
      <c r="C42" s="1126">
        <v>25</v>
      </c>
      <c r="D42" s="1119">
        <v>348</v>
      </c>
      <c r="E42" s="1120">
        <v>230</v>
      </c>
      <c r="N42" s="138"/>
    </row>
    <row r="43" spans="1:38" x14ac:dyDescent="0.2">
      <c r="A43" s="345"/>
    </row>
    <row r="44" spans="1:38" x14ac:dyDescent="0.2">
      <c r="A44" s="345"/>
      <c r="N44" s="138"/>
    </row>
    <row r="45" spans="1:38" x14ac:dyDescent="0.2">
      <c r="A45" s="345"/>
    </row>
    <row r="46" spans="1:38" x14ac:dyDescent="0.2">
      <c r="A46" s="345"/>
    </row>
    <row r="47" spans="1:38" x14ac:dyDescent="0.2">
      <c r="A47" s="345"/>
    </row>
    <row r="48" spans="1:38" x14ac:dyDescent="0.2">
      <c r="A48" s="345"/>
    </row>
    <row r="49" spans="1:1" x14ac:dyDescent="0.2">
      <c r="A49" s="345"/>
    </row>
    <row r="50" spans="1:1" x14ac:dyDescent="0.2">
      <c r="A50" s="345"/>
    </row>
    <row r="51" spans="1:1" x14ac:dyDescent="0.2">
      <c r="A51" s="345"/>
    </row>
    <row r="52" spans="1:1" x14ac:dyDescent="0.2">
      <c r="A52" s="345"/>
    </row>
    <row r="53" spans="1:1" x14ac:dyDescent="0.2">
      <c r="A53" s="345"/>
    </row>
    <row r="54" spans="1:1" x14ac:dyDescent="0.2">
      <c r="A54" s="345"/>
    </row>
    <row r="55" spans="1:1" x14ac:dyDescent="0.2">
      <c r="A55" s="345"/>
    </row>
    <row r="56" spans="1:1" x14ac:dyDescent="0.2">
      <c r="A56" s="345"/>
    </row>
    <row r="57" spans="1:1" x14ac:dyDescent="0.2">
      <c r="A57" s="345"/>
    </row>
    <row r="58" spans="1:1" x14ac:dyDescent="0.2">
      <c r="A58" s="345"/>
    </row>
    <row r="59" spans="1:1" x14ac:dyDescent="0.2">
      <c r="A59" s="345"/>
    </row>
    <row r="60" spans="1:1" x14ac:dyDescent="0.2">
      <c r="A60" s="345"/>
    </row>
    <row r="61" spans="1:1" x14ac:dyDescent="0.2">
      <c r="A61" s="345"/>
    </row>
    <row r="62" spans="1:1" x14ac:dyDescent="0.2">
      <c r="A62" s="345"/>
    </row>
    <row r="63" spans="1:1" x14ac:dyDescent="0.2">
      <c r="A63" s="345"/>
    </row>
    <row r="64" spans="1:1" x14ac:dyDescent="0.2">
      <c r="A64" s="345"/>
    </row>
    <row r="65" spans="1:1" x14ac:dyDescent="0.2">
      <c r="A65" s="345"/>
    </row>
    <row r="66" spans="1:1" x14ac:dyDescent="0.2">
      <c r="A66" s="345"/>
    </row>
    <row r="67" spans="1:1" x14ac:dyDescent="0.2">
      <c r="A67" s="345"/>
    </row>
    <row r="68" spans="1:1" x14ac:dyDescent="0.2">
      <c r="A68" s="345"/>
    </row>
    <row r="81" spans="2:5" ht="13.5" thickBot="1" x14ac:dyDescent="0.25"/>
    <row r="82" spans="2:5" x14ac:dyDescent="0.2">
      <c r="B82" s="1345" t="s">
        <v>191</v>
      </c>
      <c r="C82" s="1346"/>
      <c r="D82" s="1346"/>
      <c r="E82" s="1347"/>
    </row>
    <row r="83" spans="2:5" x14ac:dyDescent="0.2">
      <c r="B83" s="1342" t="s">
        <v>192</v>
      </c>
      <c r="C83" s="1343"/>
      <c r="D83" s="1343"/>
      <c r="E83" s="1344"/>
    </row>
    <row r="84" spans="2:5" ht="13.5" thickBot="1" x14ac:dyDescent="0.25">
      <c r="B84" s="1163" t="s">
        <v>10</v>
      </c>
      <c r="C84" s="1162" t="s">
        <v>11</v>
      </c>
      <c r="D84" s="1158"/>
      <c r="E84" s="1164"/>
    </row>
    <row r="85" spans="2:5" x14ac:dyDescent="0.2">
      <c r="B85" s="1165">
        <v>1.1000000000000001</v>
      </c>
      <c r="C85" s="1157">
        <v>0</v>
      </c>
      <c r="D85" s="1154"/>
      <c r="E85" s="351"/>
    </row>
    <row r="86" spans="2:5" ht="13.5" thickBot="1" x14ac:dyDescent="0.25">
      <c r="B86" s="1166">
        <v>1.4</v>
      </c>
      <c r="C86" s="1167">
        <v>0</v>
      </c>
      <c r="D86" s="1168"/>
      <c r="E86" s="1169"/>
    </row>
    <row r="88" spans="2:5" ht="13.5" thickBot="1" x14ac:dyDescent="0.25"/>
    <row r="89" spans="2:5" x14ac:dyDescent="0.2">
      <c r="B89" s="1345" t="s">
        <v>191</v>
      </c>
      <c r="C89" s="1346"/>
      <c r="D89" s="1346"/>
      <c r="E89" s="1347"/>
    </row>
    <row r="90" spans="2:5" x14ac:dyDescent="0.2">
      <c r="B90" s="1342" t="s">
        <v>193</v>
      </c>
      <c r="C90" s="1343"/>
      <c r="D90" s="1343"/>
      <c r="E90" s="1344"/>
    </row>
    <row r="91" spans="2:5" ht="13.5" thickBot="1" x14ac:dyDescent="0.25">
      <c r="B91" s="1163" t="s">
        <v>10</v>
      </c>
      <c r="C91" s="1162" t="s">
        <v>11</v>
      </c>
      <c r="D91" s="1158"/>
      <c r="E91" s="1164"/>
    </row>
    <row r="92" spans="2:5" x14ac:dyDescent="0.2">
      <c r="B92" s="1165">
        <v>1.05</v>
      </c>
      <c r="C92" s="1157">
        <v>0</v>
      </c>
      <c r="D92" s="1154"/>
      <c r="E92" s="351"/>
    </row>
    <row r="93" spans="2:5" ht="13.5" thickBot="1" x14ac:dyDescent="0.25">
      <c r="B93" s="1166">
        <v>1.25</v>
      </c>
      <c r="C93" s="1167">
        <v>0</v>
      </c>
      <c r="D93" s="1168"/>
      <c r="E93" s="1169"/>
    </row>
    <row r="104" spans="1:25" ht="16.5" thickBot="1" x14ac:dyDescent="0.3">
      <c r="A104" s="1379" t="s">
        <v>236</v>
      </c>
      <c r="B104" s="1380"/>
      <c r="C104" s="1380"/>
      <c r="D104" s="1380"/>
      <c r="E104" s="1380"/>
      <c r="F104" s="1380"/>
      <c r="G104" s="1380"/>
      <c r="H104" s="1380"/>
      <c r="I104" s="1380"/>
      <c r="J104" s="1380"/>
      <c r="K104" s="1380"/>
      <c r="L104" s="1380"/>
      <c r="M104" s="1380"/>
      <c r="N104" s="1380"/>
      <c r="O104" s="1354" t="s">
        <v>168</v>
      </c>
      <c r="P104" s="1354"/>
      <c r="Q104" s="1354"/>
      <c r="R104" s="1354"/>
      <c r="S104" s="1355"/>
    </row>
    <row r="105" spans="1:25" ht="19.5" thickBot="1" x14ac:dyDescent="0.4">
      <c r="A105" s="1350"/>
      <c r="B105" s="1350"/>
      <c r="C105" s="1350"/>
      <c r="D105" s="119"/>
      <c r="E105" s="1382" t="s">
        <v>27</v>
      </c>
      <c r="F105" s="1410"/>
      <c r="G105" s="1410"/>
      <c r="H105" s="1410"/>
      <c r="I105" s="1410"/>
      <c r="J105" s="1411"/>
      <c r="K105" s="890" t="s">
        <v>26</v>
      </c>
      <c r="L105" s="1383" t="s">
        <v>166</v>
      </c>
      <c r="M105" s="1352"/>
      <c r="N105" s="1353"/>
      <c r="O105" s="1348" t="s">
        <v>161</v>
      </c>
      <c r="P105" s="1349"/>
      <c r="Q105" s="1349"/>
      <c r="R105" s="1349"/>
      <c r="S105" s="1325" t="s">
        <v>88</v>
      </c>
      <c r="T105" s="1326"/>
      <c r="U105" s="1326"/>
      <c r="V105" s="403" t="s">
        <v>94</v>
      </c>
      <c r="W105" s="428" t="s">
        <v>93</v>
      </c>
      <c r="X105" s="428"/>
    </row>
    <row r="106" spans="1:25" ht="18.75" x14ac:dyDescent="0.35">
      <c r="A106" s="1391" t="s">
        <v>3</v>
      </c>
      <c r="B106" s="1295" t="s">
        <v>165</v>
      </c>
      <c r="C106" s="1296" t="s">
        <v>20</v>
      </c>
      <c r="D106" s="1297" t="s">
        <v>17</v>
      </c>
      <c r="E106" s="352" t="s">
        <v>94</v>
      </c>
      <c r="F106" s="572" t="s">
        <v>93</v>
      </c>
      <c r="G106" s="1327"/>
      <c r="H106" s="966" t="s">
        <v>28</v>
      </c>
      <c r="I106" s="1329" t="s">
        <v>162</v>
      </c>
      <c r="J106" s="1330"/>
      <c r="K106" s="892" t="s">
        <v>160</v>
      </c>
      <c r="L106" s="746" t="s">
        <v>160</v>
      </c>
      <c r="M106" s="1331" t="s">
        <v>84</v>
      </c>
      <c r="N106" s="1331"/>
      <c r="O106" s="1332" t="s">
        <v>12</v>
      </c>
      <c r="P106" s="1333"/>
      <c r="Q106" s="1331" t="s">
        <v>13</v>
      </c>
      <c r="R106" s="1331"/>
      <c r="S106" s="1334" t="s">
        <v>12</v>
      </c>
      <c r="T106" s="1335"/>
      <c r="U106" s="1335"/>
      <c r="V106" s="1357" t="s">
        <v>109</v>
      </c>
      <c r="W106" s="1358"/>
      <c r="X106" s="1403" t="s">
        <v>16</v>
      </c>
      <c r="Y106" s="684" t="s">
        <v>132</v>
      </c>
    </row>
    <row r="107" spans="1:25" ht="16.5" thickBot="1" x14ac:dyDescent="0.25">
      <c r="A107" s="1392"/>
      <c r="B107" s="749" t="s">
        <v>164</v>
      </c>
      <c r="C107" s="295" t="s">
        <v>6</v>
      </c>
      <c r="D107" s="1298" t="s">
        <v>18</v>
      </c>
      <c r="E107" s="1405" t="s">
        <v>109</v>
      </c>
      <c r="F107" s="1406"/>
      <c r="G107" s="1328"/>
      <c r="H107" s="967" t="s">
        <v>163</v>
      </c>
      <c r="I107" s="786" t="s">
        <v>24</v>
      </c>
      <c r="J107" s="787" t="s">
        <v>25</v>
      </c>
      <c r="K107" s="906" t="s">
        <v>156</v>
      </c>
      <c r="L107" s="751" t="s">
        <v>157</v>
      </c>
      <c r="M107" s="788" t="s">
        <v>158</v>
      </c>
      <c r="N107" s="789" t="s">
        <v>159</v>
      </c>
      <c r="O107" s="754" t="s">
        <v>10</v>
      </c>
      <c r="P107" s="788" t="s">
        <v>11</v>
      </c>
      <c r="Q107" s="752" t="s">
        <v>10</v>
      </c>
      <c r="R107" s="789" t="s">
        <v>11</v>
      </c>
      <c r="S107" s="929" t="s">
        <v>28</v>
      </c>
      <c r="T107" s="296" t="s">
        <v>10</v>
      </c>
      <c r="U107" s="296" t="s">
        <v>11</v>
      </c>
      <c r="V107" s="1359" t="s">
        <v>124</v>
      </c>
      <c r="W107" s="1360"/>
      <c r="X107" s="1404"/>
      <c r="Y107" s="683" t="s">
        <v>133</v>
      </c>
    </row>
    <row r="108" spans="1:25" x14ac:dyDescent="0.2">
      <c r="A108" s="968">
        <v>39450.333333333336</v>
      </c>
      <c r="B108" s="297">
        <v>8</v>
      </c>
      <c r="C108" s="586">
        <f>A108-$A$5+3.33</f>
        <v>3.33</v>
      </c>
      <c r="D108" s="1025">
        <v>1</v>
      </c>
      <c r="E108" s="918">
        <v>405331</v>
      </c>
      <c r="F108" s="962"/>
      <c r="G108" s="963"/>
      <c r="H108" s="958">
        <v>221.08</v>
      </c>
      <c r="I108" s="587"/>
      <c r="J108" s="299">
        <f>H108+B108/24*(232.94-H108)</f>
        <v>225.03333333333333</v>
      </c>
      <c r="K108" s="907">
        <v>281.95999999999998</v>
      </c>
      <c r="L108" s="588">
        <f>K108-180</f>
        <v>101.95999999999998</v>
      </c>
      <c r="M108" s="589">
        <f t="shared" ref="M108:M150" si="7">COS(L108*PI()/180)</f>
        <v>-0.20722876435828216</v>
      </c>
      <c r="N108" s="590">
        <f t="shared" ref="N108:N150" si="8">SIN(L108*PI()/180)</f>
        <v>0.97829251209571244</v>
      </c>
      <c r="O108" s="591"/>
      <c r="P108" s="945"/>
      <c r="Q108" s="592">
        <f>M108+0.2*COS(J108*PI()/180)</f>
        <v>-0.34856782105726292</v>
      </c>
      <c r="R108" s="925">
        <f>N108+0.2*SIN(J108*PI()/180)</f>
        <v>0.83678890418608243</v>
      </c>
      <c r="S108" s="361">
        <f>49+360*C108/(8.85*365.24)</f>
        <v>49.370872924977121</v>
      </c>
      <c r="T108" s="592"/>
      <c r="U108" s="931"/>
      <c r="V108" s="593">
        <f>E108</f>
        <v>405331</v>
      </c>
      <c r="W108" s="594"/>
      <c r="X108" s="777"/>
      <c r="Y108" s="681"/>
    </row>
    <row r="109" spans="1:25" x14ac:dyDescent="0.2">
      <c r="A109" s="976"/>
      <c r="B109" s="597"/>
      <c r="C109" s="598"/>
      <c r="D109" s="599"/>
      <c r="E109" s="636"/>
      <c r="F109" s="600"/>
      <c r="G109" s="964"/>
      <c r="H109" s="959"/>
      <c r="I109" s="601"/>
      <c r="J109" s="602"/>
      <c r="K109" s="908"/>
      <c r="L109" s="603"/>
      <c r="M109" s="604"/>
      <c r="N109" s="605"/>
      <c r="O109" s="606"/>
      <c r="P109" s="946"/>
      <c r="Q109" s="609"/>
      <c r="R109" s="649"/>
      <c r="S109" s="608"/>
      <c r="T109" s="609"/>
      <c r="U109" s="932"/>
      <c r="V109" s="610"/>
      <c r="W109" s="611"/>
      <c r="X109" s="938"/>
      <c r="Y109" s="144"/>
    </row>
    <row r="110" spans="1:25" x14ac:dyDescent="0.2">
      <c r="A110" s="977">
        <v>39466.375</v>
      </c>
      <c r="B110" s="595">
        <v>9</v>
      </c>
      <c r="C110" s="575">
        <f>A110-$A$5+3.33</f>
        <v>19.37166666666424</v>
      </c>
      <c r="D110" s="889">
        <f>D108+1</f>
        <v>2</v>
      </c>
      <c r="E110" s="919"/>
      <c r="F110" s="888">
        <v>366430</v>
      </c>
      <c r="G110" s="656"/>
      <c r="H110" s="434">
        <v>70.58</v>
      </c>
      <c r="I110" s="434">
        <f>H110+B110/24*(85.11-H110)</f>
        <v>76.028750000000002</v>
      </c>
      <c r="J110" s="440"/>
      <c r="K110" s="909">
        <v>298.27</v>
      </c>
      <c r="L110" s="321">
        <f>K110-180</f>
        <v>118.26999999999998</v>
      </c>
      <c r="M110" s="322">
        <f t="shared" si="7"/>
        <v>-0.47362712721695577</v>
      </c>
      <c r="N110" s="323">
        <f t="shared" si="8"/>
        <v>0.88072546480967251</v>
      </c>
      <c r="O110" s="491">
        <f>M110+0.3*COS(I110*PI()/180)</f>
        <v>-0.40119663079337958</v>
      </c>
      <c r="P110" s="645">
        <f>N110+0.3*SIN(I110*PI()/180)</f>
        <v>1.1718505636724026</v>
      </c>
      <c r="Q110" s="441">
        <f>M111</f>
        <v>-0.64904981169089759</v>
      </c>
      <c r="R110" s="501">
        <f>N111</f>
        <v>0.76074591155260918</v>
      </c>
      <c r="S110" s="364">
        <f>49+360*C110/(8.85*365.24)</f>
        <v>51.157485488993267</v>
      </c>
      <c r="T110" s="441">
        <f>M110+0.3*COS(S110*PI()/180)</f>
        <v>-0.28547255068843413</v>
      </c>
      <c r="U110" s="421">
        <f>N110+0.3*SIN(S110*PI()/180)</f>
        <v>1.1143873045083548</v>
      </c>
      <c r="V110" s="552">
        <v>404800</v>
      </c>
      <c r="W110" s="889">
        <f>F110</f>
        <v>366430</v>
      </c>
      <c r="X110" s="778">
        <f t="shared" ref="X110:X150" si="9">(V110-W110)/(V110+W110)</f>
        <v>4.9751695343801458E-2</v>
      </c>
      <c r="Y110" s="144">
        <f t="shared" ref="Y110:Y135" si="10">0.5*(V110+W110)</f>
        <v>385615</v>
      </c>
    </row>
    <row r="111" spans="1:25" x14ac:dyDescent="0.2">
      <c r="A111" s="970">
        <v>39478.166666666664</v>
      </c>
      <c r="B111" s="324">
        <v>4</v>
      </c>
      <c r="C111" s="307">
        <f>A111-$A$5+3.33</f>
        <v>31.163333333328481</v>
      </c>
      <c r="D111" s="534"/>
      <c r="E111" s="626">
        <v>404533</v>
      </c>
      <c r="F111" s="14"/>
      <c r="G111" s="783"/>
      <c r="H111" s="775">
        <v>229.04</v>
      </c>
      <c r="I111" s="612"/>
      <c r="J111" s="329">
        <f>H111+B111/24*(240.92-H111)</f>
        <v>231.01999999999998</v>
      </c>
      <c r="K111" s="910">
        <v>310.47000000000003</v>
      </c>
      <c r="L111" s="308">
        <f>K111-180</f>
        <v>130.47000000000003</v>
      </c>
      <c r="M111" s="309">
        <f t="shared" si="7"/>
        <v>-0.64904981169089759</v>
      </c>
      <c r="N111" s="310">
        <f t="shared" si="8"/>
        <v>0.76074591155260918</v>
      </c>
      <c r="O111" s="311">
        <f>M110</f>
        <v>-0.47362712721695577</v>
      </c>
      <c r="P111" s="947">
        <f>N110</f>
        <v>0.88072546480967251</v>
      </c>
      <c r="Q111" s="370">
        <f>M111+0.2*COS(J111*PI()/180)</f>
        <v>-0.77485962721070489</v>
      </c>
      <c r="R111" s="419">
        <f>N111+0.2*SIN(J111*PI()/180)</f>
        <v>0.60527279387990007</v>
      </c>
      <c r="S111" s="369"/>
      <c r="T111" s="370">
        <f>M110</f>
        <v>-0.47362712721695577</v>
      </c>
      <c r="U111" s="933">
        <f>N110</f>
        <v>0.88072546480967251</v>
      </c>
      <c r="V111" s="426">
        <f>E111</f>
        <v>404533</v>
      </c>
      <c r="W111" s="613">
        <v>369400</v>
      </c>
      <c r="X111" s="778">
        <f t="shared" si="9"/>
        <v>4.5395402444397645E-2</v>
      </c>
      <c r="Y111" s="550">
        <f t="shared" si="10"/>
        <v>386966.5</v>
      </c>
    </row>
    <row r="112" spans="1:25" x14ac:dyDescent="0.2">
      <c r="A112" s="976"/>
      <c r="B112" s="614"/>
      <c r="C112" s="598"/>
      <c r="D112" s="599"/>
      <c r="E112" s="636"/>
      <c r="F112" s="615"/>
      <c r="G112" s="964"/>
      <c r="H112" s="960"/>
      <c r="I112" s="616"/>
      <c r="J112" s="602"/>
      <c r="K112" s="602"/>
      <c r="L112" s="617"/>
      <c r="M112" s="604"/>
      <c r="N112" s="605"/>
      <c r="O112" s="606"/>
      <c r="P112" s="946"/>
      <c r="Q112" s="609"/>
      <c r="R112" s="649"/>
      <c r="S112" s="608"/>
      <c r="T112" s="609"/>
      <c r="U112" s="932"/>
      <c r="V112" s="610"/>
      <c r="W112" s="611"/>
      <c r="X112" s="778"/>
      <c r="Y112" s="144"/>
    </row>
    <row r="113" spans="1:25" x14ac:dyDescent="0.2">
      <c r="A113" s="978">
        <v>39492.041666666664</v>
      </c>
      <c r="B113" s="583">
        <v>1</v>
      </c>
      <c r="C113" s="578">
        <f t="shared" ref="C113:C150" si="11">A113-$A$5+3.33</f>
        <v>45.038333333328481</v>
      </c>
      <c r="D113" s="1299">
        <f>D110+1</f>
        <v>3</v>
      </c>
      <c r="E113" s="920"/>
      <c r="F113" s="584">
        <v>370219</v>
      </c>
      <c r="G113" s="784"/>
      <c r="H113" s="316">
        <v>52.71</v>
      </c>
      <c r="I113" s="433">
        <f>H113+B113/24*(66.9-H113)</f>
        <v>53.301250000000003</v>
      </c>
      <c r="J113" s="444"/>
      <c r="K113" s="911">
        <v>324.66000000000003</v>
      </c>
      <c r="L113" s="315">
        <f>K113-180</f>
        <v>144.66000000000003</v>
      </c>
      <c r="M113" s="316">
        <f t="shared" si="7"/>
        <v>-0.81573397049902774</v>
      </c>
      <c r="N113" s="317">
        <f t="shared" si="8"/>
        <v>0.57842725504067616</v>
      </c>
      <c r="O113" s="585">
        <f>M113+0.3*COS(I113*PI()/180)</f>
        <v>-0.63645167405835867</v>
      </c>
      <c r="P113" s="948">
        <f>N113+0.3*SIN(I113*PI()/180)</f>
        <v>0.81896385970399976</v>
      </c>
      <c r="Q113" s="441">
        <f>M114</f>
        <v>-0.93213432724111367</v>
      </c>
      <c r="R113" s="501">
        <f>N114</f>
        <v>0.36211268408985114</v>
      </c>
      <c r="S113" s="411">
        <f>49+360*C113/(8.85*365.24)</f>
        <v>54.016065591419263</v>
      </c>
      <c r="T113" s="581">
        <f>M113+0.3*COS(S113*PI()/180)</f>
        <v>-0.63946645563707172</v>
      </c>
      <c r="U113" s="934">
        <f>N113+0.3*SIN(S113*PI()/180)</f>
        <v>0.82118178786012752</v>
      </c>
      <c r="V113" s="549">
        <v>404300</v>
      </c>
      <c r="W113" s="889">
        <f>F113</f>
        <v>370219</v>
      </c>
      <c r="X113" s="778">
        <f t="shared" si="9"/>
        <v>4.4002793992142221E-2</v>
      </c>
      <c r="Y113" s="550">
        <f t="shared" si="10"/>
        <v>387259.5</v>
      </c>
    </row>
    <row r="114" spans="1:25" x14ac:dyDescent="0.2">
      <c r="A114" s="970">
        <v>39506.041666666664</v>
      </c>
      <c r="B114" s="319">
        <v>1</v>
      </c>
      <c r="C114" s="307">
        <f t="shared" si="11"/>
        <v>59.038333333328481</v>
      </c>
      <c r="D114" s="1027"/>
      <c r="E114" s="760">
        <v>404443</v>
      </c>
      <c r="F114" s="320"/>
      <c r="G114" s="783"/>
      <c r="H114" s="309">
        <v>236.85</v>
      </c>
      <c r="I114" s="443"/>
      <c r="J114" s="417">
        <f>H114+B114/24*(248.73-H114)</f>
        <v>237.345</v>
      </c>
      <c r="K114" s="912">
        <v>338.77</v>
      </c>
      <c r="L114" s="308">
        <f t="shared" ref="L114:L146" si="12">K114-180</f>
        <v>158.76999999999998</v>
      </c>
      <c r="M114" s="309">
        <f t="shared" si="7"/>
        <v>-0.93213432724111367</v>
      </c>
      <c r="N114" s="310">
        <f t="shared" si="8"/>
        <v>0.36211268408985114</v>
      </c>
      <c r="O114" s="311">
        <f>M113</f>
        <v>-0.81573397049902774</v>
      </c>
      <c r="P114" s="947">
        <f>N113</f>
        <v>0.57842725504067616</v>
      </c>
      <c r="Q114" s="370">
        <f>M114+0.2*COS(J114*PI()/180)</f>
        <v>-1.0400501738209733</v>
      </c>
      <c r="R114" s="926">
        <f>N114+0.2*SIN(J114*PI()/180)</f>
        <v>0.19372571886702816</v>
      </c>
      <c r="S114" s="369"/>
      <c r="T114" s="370">
        <f>M113</f>
        <v>-0.81573397049902774</v>
      </c>
      <c r="U114" s="933">
        <f>N113</f>
        <v>0.57842725504067616</v>
      </c>
      <c r="V114" s="426">
        <f>E114</f>
        <v>404443</v>
      </c>
      <c r="W114" s="534">
        <v>369000</v>
      </c>
      <c r="X114" s="778">
        <f t="shared" si="9"/>
        <v>4.5824967062860482E-2</v>
      </c>
      <c r="Y114" s="550">
        <f t="shared" si="10"/>
        <v>386721.5</v>
      </c>
    </row>
    <row r="115" spans="1:25" x14ac:dyDescent="0.2">
      <c r="A115" s="976"/>
      <c r="B115" s="618"/>
      <c r="C115" s="598"/>
      <c r="D115" s="1300"/>
      <c r="E115" s="921"/>
      <c r="F115" s="619"/>
      <c r="G115" s="964"/>
      <c r="H115" s="604"/>
      <c r="I115" s="620"/>
      <c r="J115" s="621"/>
      <c r="K115" s="913"/>
      <c r="L115" s="617"/>
      <c r="M115" s="604"/>
      <c r="N115" s="605"/>
      <c r="O115" s="606"/>
      <c r="P115" s="946"/>
      <c r="Q115" s="609"/>
      <c r="R115" s="649"/>
      <c r="S115" s="608"/>
      <c r="T115" s="609"/>
      <c r="U115" s="932"/>
      <c r="V115" s="610"/>
      <c r="W115" s="599"/>
      <c r="X115" s="778"/>
      <c r="Y115" s="144"/>
    </row>
    <row r="116" spans="1:25" x14ac:dyDescent="0.2">
      <c r="A116" s="977">
        <v>39517.916666666664</v>
      </c>
      <c r="B116" s="306">
        <v>22</v>
      </c>
      <c r="C116" s="575">
        <f t="shared" si="11"/>
        <v>70.913333333328481</v>
      </c>
      <c r="D116" s="1028">
        <f>D113+1</f>
        <v>4</v>
      </c>
      <c r="E116" s="146"/>
      <c r="F116" s="888">
        <v>366298</v>
      </c>
      <c r="G116" s="656"/>
      <c r="H116" s="434">
        <v>20.18</v>
      </c>
      <c r="I116" s="434">
        <f>H116+B116/24*(34.71-H116)</f>
        <v>33.499166666666667</v>
      </c>
      <c r="J116" s="440"/>
      <c r="K116" s="909">
        <v>350.79</v>
      </c>
      <c r="L116" s="321">
        <f t="shared" si="12"/>
        <v>170.79000000000002</v>
      </c>
      <c r="M116" s="322">
        <f t="shared" si="7"/>
        <v>-0.98710834550681237</v>
      </c>
      <c r="N116" s="323">
        <f t="shared" si="8"/>
        <v>0.16005347303574352</v>
      </c>
      <c r="O116" s="491">
        <f>M116+0.3*COS(I116*PI()/180)</f>
        <v>-0.73694019063370775</v>
      </c>
      <c r="P116" s="645">
        <f>N116+0.3*SIN(I116*PI()/180)</f>
        <v>0.32563093009855237</v>
      </c>
      <c r="Q116" s="441">
        <f>M117</f>
        <v>-0.99317064953848611</v>
      </c>
      <c r="R116" s="501">
        <f>N117</f>
        <v>-0.11667073709933312</v>
      </c>
      <c r="S116" s="364">
        <f>49+360*C116/(8.85*365.24)</f>
        <v>56.897848454417172</v>
      </c>
      <c r="T116" s="441">
        <f>M116+0.3*COS(S116*PI()/180)</f>
        <v>-0.8232683200260017</v>
      </c>
      <c r="U116" s="421">
        <f>N116+0.3*SIN(S116*PI()/180)</f>
        <v>0.41136293575143057</v>
      </c>
      <c r="V116" s="552">
        <v>404700</v>
      </c>
      <c r="W116" s="889">
        <f>F116</f>
        <v>366298</v>
      </c>
      <c r="X116" s="778">
        <f t="shared" si="9"/>
        <v>4.9808170708614027E-2</v>
      </c>
      <c r="Y116" s="144">
        <f t="shared" si="10"/>
        <v>385499</v>
      </c>
    </row>
    <row r="117" spans="1:25" x14ac:dyDescent="0.2">
      <c r="A117" s="970">
        <v>39533.833333333336</v>
      </c>
      <c r="B117" s="324">
        <v>20</v>
      </c>
      <c r="C117" s="307">
        <f t="shared" si="11"/>
        <v>86.83</v>
      </c>
      <c r="D117" s="1029"/>
      <c r="E117" s="626">
        <v>405092</v>
      </c>
      <c r="F117" s="325"/>
      <c r="G117" s="783"/>
      <c r="H117" s="775">
        <v>232.97</v>
      </c>
      <c r="I117" s="612"/>
      <c r="J117" s="329">
        <f>H117+B117/24*(244.85-H117)</f>
        <v>242.87</v>
      </c>
      <c r="K117" s="910">
        <v>6.7</v>
      </c>
      <c r="L117" s="308">
        <f t="shared" si="12"/>
        <v>-173.3</v>
      </c>
      <c r="M117" s="309">
        <f t="shared" si="7"/>
        <v>-0.99317064953848611</v>
      </c>
      <c r="N117" s="310">
        <f t="shared" si="8"/>
        <v>-0.11667073709933312</v>
      </c>
      <c r="O117" s="311">
        <f>M116</f>
        <v>-0.98710834550681237</v>
      </c>
      <c r="P117" s="947">
        <f>N116</f>
        <v>0.16005347303574352</v>
      </c>
      <c r="Q117" s="370">
        <f>M117+0.2*COS(J117*PI()/180)</f>
        <v>-1.084372841358811</v>
      </c>
      <c r="R117" s="926">
        <f>N117+0.2*SIN(J117*PI()/180)</f>
        <v>-0.29466556906691777</v>
      </c>
      <c r="S117" s="369"/>
      <c r="T117" s="370">
        <f>M116</f>
        <v>-0.98710834550681237</v>
      </c>
      <c r="U117" s="933">
        <f>N116</f>
        <v>0.16005347303574352</v>
      </c>
      <c r="V117" s="426">
        <f>E117</f>
        <v>405092</v>
      </c>
      <c r="W117" s="613">
        <v>363000</v>
      </c>
      <c r="X117" s="778">
        <f t="shared" si="9"/>
        <v>5.480072699624524E-2</v>
      </c>
      <c r="Y117" s="144">
        <f t="shared" si="10"/>
        <v>384046</v>
      </c>
    </row>
    <row r="118" spans="1:25" x14ac:dyDescent="0.2">
      <c r="A118" s="976"/>
      <c r="B118" s="614"/>
      <c r="C118" s="598"/>
      <c r="D118" s="1301"/>
      <c r="E118" s="636"/>
      <c r="F118" s="622"/>
      <c r="G118" s="964"/>
      <c r="H118" s="960"/>
      <c r="I118" s="616"/>
      <c r="J118" s="602"/>
      <c r="K118" s="602"/>
      <c r="L118" s="617"/>
      <c r="M118" s="604"/>
      <c r="N118" s="605"/>
      <c r="O118" s="606"/>
      <c r="P118" s="946"/>
      <c r="Q118" s="609"/>
      <c r="R118" s="649"/>
      <c r="S118" s="608"/>
      <c r="T118" s="609"/>
      <c r="U118" s="932"/>
      <c r="V118" s="610"/>
      <c r="W118" s="611"/>
      <c r="X118" s="778"/>
      <c r="Y118" s="144"/>
    </row>
    <row r="119" spans="1:25" x14ac:dyDescent="0.2">
      <c r="A119" s="977">
        <v>39545.791666666664</v>
      </c>
      <c r="B119" s="306">
        <v>19</v>
      </c>
      <c r="C119" s="575">
        <f t="shared" si="11"/>
        <v>98.788333333328481</v>
      </c>
      <c r="D119" s="1028">
        <f>D116+1</f>
        <v>5</v>
      </c>
      <c r="E119" s="146"/>
      <c r="F119" s="888">
        <v>361080</v>
      </c>
      <c r="G119" s="656"/>
      <c r="H119" s="434">
        <v>29.17</v>
      </c>
      <c r="I119" s="431">
        <f>H119+B119/24*(44.15-H119)</f>
        <v>41.029166666666669</v>
      </c>
      <c r="J119" s="440"/>
      <c r="K119" s="909">
        <v>18.53</v>
      </c>
      <c r="L119" s="321">
        <f t="shared" si="12"/>
        <v>-161.47</v>
      </c>
      <c r="M119" s="322">
        <f t="shared" si="7"/>
        <v>-0.94815738489005108</v>
      </c>
      <c r="N119" s="323">
        <f t="shared" si="8"/>
        <v>-0.31780115399170517</v>
      </c>
      <c r="O119" s="491">
        <f>M119+0.3*COS(I119*PI()/180)</f>
        <v>-0.7218447310685483</v>
      </c>
      <c r="P119" s="645">
        <f>N119+0.3*SIN(I119*PI()/180)</f>
        <v>-0.12086821433896802</v>
      </c>
      <c r="Q119" s="441">
        <f>M120</f>
        <v>-0.83666873290366961</v>
      </c>
      <c r="R119" s="501">
        <f>N120</f>
        <v>-0.54770925807527482</v>
      </c>
      <c r="S119" s="364">
        <f>49+360*C119/(8.85*365.24)</f>
        <v>60.002377818902843</v>
      </c>
      <c r="T119" s="441">
        <f>M119+0.3*COS(S119*PI()/180)</f>
        <v>-0.79816816723525708</v>
      </c>
      <c r="U119" s="421">
        <f>N119+0.3*SIN(S119*PI()/180)</f>
        <v>-5.7987307964779911E-2</v>
      </c>
      <c r="V119" s="551">
        <v>405450</v>
      </c>
      <c r="W119" s="889">
        <f>F119</f>
        <v>361080</v>
      </c>
      <c r="X119" s="778">
        <f t="shared" si="9"/>
        <v>5.7884231536926151E-2</v>
      </c>
      <c r="Y119" s="144">
        <f t="shared" si="10"/>
        <v>383265</v>
      </c>
    </row>
    <row r="120" spans="1:25" x14ac:dyDescent="0.2">
      <c r="A120" s="970">
        <v>39561.416666666664</v>
      </c>
      <c r="B120" s="324">
        <v>10</v>
      </c>
      <c r="C120" s="307">
        <f t="shared" si="11"/>
        <v>114.41333333332848</v>
      </c>
      <c r="D120" s="1031"/>
      <c r="E120" s="626">
        <v>405943</v>
      </c>
      <c r="F120" s="328"/>
      <c r="G120" s="783"/>
      <c r="H120" s="775">
        <v>241.42</v>
      </c>
      <c r="I120" s="435"/>
      <c r="J120" s="329">
        <f>H120+B120/24*(253.29-H120)</f>
        <v>246.36583333333331</v>
      </c>
      <c r="K120" s="910">
        <v>33.21</v>
      </c>
      <c r="L120" s="308">
        <f t="shared" si="12"/>
        <v>-146.79</v>
      </c>
      <c r="M120" s="309">
        <f t="shared" si="7"/>
        <v>-0.83666873290366961</v>
      </c>
      <c r="N120" s="310">
        <f t="shared" si="8"/>
        <v>-0.54770925807527482</v>
      </c>
      <c r="O120" s="311">
        <f>M119</f>
        <v>-0.94815738489005108</v>
      </c>
      <c r="P120" s="947">
        <f>N119</f>
        <v>-0.31780115399170517</v>
      </c>
      <c r="Q120" s="370">
        <f>M120+0.2*COS(J120*PI()/180)</f>
        <v>-0.91684781440850427</v>
      </c>
      <c r="R120" s="926">
        <f>N120+0.2*SIN(J120*PI()/180)</f>
        <v>-0.73093402411153174</v>
      </c>
      <c r="S120" s="369"/>
      <c r="T120" s="370">
        <f>M119</f>
        <v>-0.94815738489005108</v>
      </c>
      <c r="U120" s="933">
        <f>N119</f>
        <v>-0.31780115399170517</v>
      </c>
      <c r="V120" s="426">
        <f>E120</f>
        <v>405943</v>
      </c>
      <c r="W120" s="613">
        <v>359000</v>
      </c>
      <c r="X120" s="778">
        <f t="shared" si="9"/>
        <v>6.1367971208312257E-2</v>
      </c>
      <c r="Y120" s="550">
        <f t="shared" si="10"/>
        <v>382471.5</v>
      </c>
    </row>
    <row r="121" spans="1:25" x14ac:dyDescent="0.2">
      <c r="A121" s="977"/>
      <c r="B121" s="306"/>
      <c r="C121" s="575"/>
      <c r="D121" s="1028"/>
      <c r="E121" s="144"/>
      <c r="F121" s="888"/>
      <c r="G121" s="964"/>
      <c r="H121" s="960"/>
      <c r="I121" s="623"/>
      <c r="J121" s="602"/>
      <c r="K121" s="602"/>
      <c r="L121" s="617"/>
      <c r="M121" s="604"/>
      <c r="N121" s="605"/>
      <c r="O121" s="606"/>
      <c r="P121" s="946"/>
      <c r="Q121" s="609"/>
      <c r="R121" s="649"/>
      <c r="S121" s="608"/>
      <c r="T121" s="609"/>
      <c r="U121" s="932"/>
      <c r="V121" s="610"/>
      <c r="W121" s="779"/>
      <c r="X121" s="778"/>
      <c r="Y121" s="144"/>
    </row>
    <row r="122" spans="1:25" x14ac:dyDescent="0.2">
      <c r="A122" s="969">
        <v>39574.125</v>
      </c>
      <c r="B122" s="330">
        <v>3</v>
      </c>
      <c r="C122" s="301">
        <f t="shared" si="11"/>
        <v>127.12166666666424</v>
      </c>
      <c r="D122" s="1032">
        <f>D119+1</f>
        <v>6</v>
      </c>
      <c r="E122" s="762"/>
      <c r="F122" s="331">
        <v>357771</v>
      </c>
      <c r="G122" s="656"/>
      <c r="H122" s="322">
        <v>52.81</v>
      </c>
      <c r="I122" s="441">
        <f>H122+B122/24*(68.07-H122)</f>
        <v>54.717500000000001</v>
      </c>
      <c r="J122" s="440"/>
      <c r="K122" s="914">
        <v>45.84</v>
      </c>
      <c r="L122" s="321">
        <f t="shared" si="12"/>
        <v>-134.16</v>
      </c>
      <c r="M122" s="322">
        <f t="shared" si="7"/>
        <v>-0.69666443497848041</v>
      </c>
      <c r="N122" s="323">
        <f t="shared" si="8"/>
        <v>-0.71739714596317894</v>
      </c>
      <c r="O122" s="491">
        <f>M122+0.3*COS(I122*PI()/180)</f>
        <v>-0.52338193826094237</v>
      </c>
      <c r="P122" s="645">
        <f>N122+0.3*SIN(I122*PI()/180)</f>
        <v>-0.47250293139015886</v>
      </c>
      <c r="Q122" s="441">
        <f>M123</f>
        <v>-0.4951554286552266</v>
      </c>
      <c r="R122" s="501">
        <f>N123</f>
        <v>-0.86880440921605528</v>
      </c>
      <c r="S122" s="364">
        <f>49+360*C122/(8.85*365.24)</f>
        <v>63.157953256646394</v>
      </c>
      <c r="T122" s="441">
        <f>M122+0.3*COS(S122*PI()/180)</f>
        <v>-0.5612047008799943</v>
      </c>
      <c r="U122" s="421">
        <f>N122+0.3*SIN(S122*PI()/180)</f>
        <v>-0.44972073602392515</v>
      </c>
      <c r="V122" s="552">
        <v>406250</v>
      </c>
      <c r="W122" s="780">
        <f>F122</f>
        <v>357771</v>
      </c>
      <c r="X122" s="778">
        <f t="shared" si="9"/>
        <v>6.3452444369984595E-2</v>
      </c>
      <c r="Y122" s="550">
        <f t="shared" si="10"/>
        <v>382010.5</v>
      </c>
    </row>
    <row r="123" spans="1:25" x14ac:dyDescent="0.2">
      <c r="A123" s="972">
        <v>39588.583333333336</v>
      </c>
      <c r="B123" s="394">
        <v>14</v>
      </c>
      <c r="C123" s="333">
        <f t="shared" si="11"/>
        <v>141.58000000000001</v>
      </c>
      <c r="D123" s="1033"/>
      <c r="E123" s="624">
        <v>406403</v>
      </c>
      <c r="F123" s="395"/>
      <c r="G123" s="785"/>
      <c r="H123" s="398">
        <v>238.36</v>
      </c>
      <c r="I123" s="625"/>
      <c r="J123" s="439">
        <f>H123+B123/24*(250.24-H123)</f>
        <v>245.29000000000002</v>
      </c>
      <c r="K123" s="915">
        <v>60.32</v>
      </c>
      <c r="L123" s="397">
        <f t="shared" si="12"/>
        <v>-119.68</v>
      </c>
      <c r="M123" s="398">
        <f t="shared" si="7"/>
        <v>-0.4951554286552266</v>
      </c>
      <c r="N123" s="399">
        <f t="shared" si="8"/>
        <v>-0.86880440921605528</v>
      </c>
      <c r="O123" s="311">
        <f>M122</f>
        <v>-0.69666443497848041</v>
      </c>
      <c r="P123" s="947">
        <f>N122</f>
        <v>-0.71739714596317894</v>
      </c>
      <c r="Q123" s="398">
        <f>M123+0.2*COS(J123*PI()/180)</f>
        <v>-0.5787605550603433</v>
      </c>
      <c r="R123" s="927">
        <f>N123+0.2*SIN(J123*PI()/180)</f>
        <v>-1.0504914556414526</v>
      </c>
      <c r="S123" s="414"/>
      <c r="T123" s="370">
        <f>M122</f>
        <v>-0.69666443497848041</v>
      </c>
      <c r="U123" s="933">
        <f>N122</f>
        <v>-0.71739714596317894</v>
      </c>
      <c r="V123" s="425">
        <f>E123</f>
        <v>406403</v>
      </c>
      <c r="W123" s="781">
        <v>357200</v>
      </c>
      <c r="X123" s="778">
        <f t="shared" si="9"/>
        <v>6.4435315209604993E-2</v>
      </c>
      <c r="Y123" s="550">
        <f t="shared" si="10"/>
        <v>381801.5</v>
      </c>
    </row>
    <row r="124" spans="1:25" x14ac:dyDescent="0.2">
      <c r="A124" s="978"/>
      <c r="B124" s="577"/>
      <c r="C124" s="578"/>
      <c r="D124" s="1302"/>
      <c r="E124" s="763"/>
      <c r="F124" s="579"/>
      <c r="G124" s="784"/>
      <c r="H124" s="581"/>
      <c r="I124" s="628"/>
      <c r="J124" s="629"/>
      <c r="K124" s="629"/>
      <c r="L124" s="630"/>
      <c r="M124" s="631"/>
      <c r="N124" s="632"/>
      <c r="O124" s="633"/>
      <c r="P124" s="949"/>
      <c r="Q124" s="631"/>
      <c r="R124" s="632"/>
      <c r="S124" s="634"/>
      <c r="T124" s="631"/>
      <c r="U124" s="935"/>
      <c r="V124" s="635"/>
      <c r="W124" s="939"/>
      <c r="X124" s="778"/>
      <c r="Y124" s="144"/>
    </row>
    <row r="125" spans="1:25" x14ac:dyDescent="0.2">
      <c r="A125" s="973">
        <v>39602.541666666664</v>
      </c>
      <c r="B125" s="400">
        <v>13</v>
      </c>
      <c r="C125" s="301">
        <f t="shared" si="11"/>
        <v>155.5383333333285</v>
      </c>
      <c r="D125" s="1034">
        <f>D122+1</f>
        <v>7</v>
      </c>
      <c r="E125" s="764"/>
      <c r="F125" s="401">
        <v>357251</v>
      </c>
      <c r="G125" s="656"/>
      <c r="H125" s="365">
        <v>61.21</v>
      </c>
      <c r="I125" s="365">
        <f>H125+B125/24*(76.51-H125)</f>
        <v>69.497500000000002</v>
      </c>
      <c r="J125" s="496"/>
      <c r="K125" s="916">
        <v>73.75</v>
      </c>
      <c r="L125" s="500">
        <f t="shared" si="12"/>
        <v>-106.25</v>
      </c>
      <c r="M125" s="441">
        <f t="shared" si="7"/>
        <v>-0.27982901403099192</v>
      </c>
      <c r="N125" s="501">
        <f t="shared" si="8"/>
        <v>-0.96004985438592871</v>
      </c>
      <c r="O125" s="362">
        <f>M125+0.3*COS(I125*PI()/180)</f>
        <v>-0.17475453874288172</v>
      </c>
      <c r="P125" s="438">
        <f>N125+0.3*SIN(I125*PI()/180)</f>
        <v>-0.67905278208280251</v>
      </c>
      <c r="Q125" s="441">
        <f>M126</f>
        <v>-6.6622194773348478E-2</v>
      </c>
      <c r="R125" s="501">
        <f>N126</f>
        <v>-0.99777827354757631</v>
      </c>
      <c r="S125" s="364">
        <f>49+360*C125/(8.85*365.24)</f>
        <v>66.322809798618067</v>
      </c>
      <c r="T125" s="441">
        <f>M125+0.3*COS(S125*PI()/180)</f>
        <v>-0.15935404984270687</v>
      </c>
      <c r="U125" s="421">
        <f>N125+0.3*SIN(S125*PI()/180)</f>
        <v>-0.68530309279658552</v>
      </c>
      <c r="V125" s="551">
        <v>406410</v>
      </c>
      <c r="W125" s="780">
        <f>F125</f>
        <v>357251</v>
      </c>
      <c r="X125" s="778">
        <f t="shared" si="9"/>
        <v>6.4372804163103786E-2</v>
      </c>
      <c r="Y125" s="550">
        <f t="shared" si="10"/>
        <v>381830.5</v>
      </c>
    </row>
    <row r="126" spans="1:25" x14ac:dyDescent="0.2">
      <c r="A126" s="970">
        <v>39615.75</v>
      </c>
      <c r="B126" s="324">
        <v>18</v>
      </c>
      <c r="C126" s="307">
        <f t="shared" si="11"/>
        <v>168.74666666666425</v>
      </c>
      <c r="D126" s="1031"/>
      <c r="E126" s="626">
        <v>406228</v>
      </c>
      <c r="F126" s="328"/>
      <c r="G126" s="783"/>
      <c r="H126" s="775">
        <v>235.39</v>
      </c>
      <c r="I126" s="442"/>
      <c r="J126" s="417">
        <f>H126+B126/24*(247.25-H126)</f>
        <v>244.285</v>
      </c>
      <c r="K126" s="910">
        <v>86.18</v>
      </c>
      <c r="L126" s="308">
        <f t="shared" si="12"/>
        <v>-93.82</v>
      </c>
      <c r="M126" s="309">
        <f t="shared" si="7"/>
        <v>-6.6622194773348478E-2</v>
      </c>
      <c r="N126" s="310">
        <f t="shared" si="8"/>
        <v>-0.99777827354757631</v>
      </c>
      <c r="O126" s="311">
        <f>M125</f>
        <v>-0.27982901403099192</v>
      </c>
      <c r="P126" s="947">
        <f>N125</f>
        <v>-0.96004985438592871</v>
      </c>
      <c r="Q126" s="370">
        <f>M126+0.2*COS(J126*PI()/180)</f>
        <v>-0.15340118900057437</v>
      </c>
      <c r="R126" s="926">
        <f>N126+0.2*SIN(J126*PI()/180)</f>
        <v>-1.1779709652997978</v>
      </c>
      <c r="S126" s="369"/>
      <c r="T126" s="370">
        <f>M125</f>
        <v>-0.27982901403099192</v>
      </c>
      <c r="U126" s="933">
        <f>N125</f>
        <v>-0.96004985438592871</v>
      </c>
      <c r="V126" s="426">
        <f>E126</f>
        <v>406228</v>
      </c>
      <c r="W126" s="613">
        <v>358000</v>
      </c>
      <c r="X126" s="778">
        <f t="shared" si="9"/>
        <v>6.3106821524466519E-2</v>
      </c>
      <c r="Y126" s="144">
        <f t="shared" si="10"/>
        <v>382114</v>
      </c>
    </row>
    <row r="127" spans="1:25" x14ac:dyDescent="0.2">
      <c r="A127" s="977"/>
      <c r="B127" s="306"/>
      <c r="C127" s="575"/>
      <c r="D127" s="1028"/>
      <c r="E127" s="144"/>
      <c r="F127" s="888"/>
      <c r="G127" s="783"/>
      <c r="H127" s="775"/>
      <c r="I127" s="442"/>
      <c r="J127" s="627"/>
      <c r="K127" s="910"/>
      <c r="L127" s="308"/>
      <c r="M127" s="309"/>
      <c r="N127" s="310"/>
      <c r="O127" s="311"/>
      <c r="P127" s="947"/>
      <c r="Q127" s="370"/>
      <c r="R127" s="419"/>
      <c r="S127" s="369"/>
      <c r="T127" s="370"/>
      <c r="U127" s="933"/>
      <c r="V127" s="426"/>
      <c r="W127" s="613"/>
      <c r="X127" s="778"/>
      <c r="Y127" s="144"/>
    </row>
    <row r="128" spans="1:25" x14ac:dyDescent="0.2">
      <c r="A128" s="969">
        <v>39630.875</v>
      </c>
      <c r="B128" s="326">
        <v>21</v>
      </c>
      <c r="C128" s="301">
        <f t="shared" si="11"/>
        <v>183.87166666666425</v>
      </c>
      <c r="D128" s="1030">
        <f>D125+1</f>
        <v>8</v>
      </c>
      <c r="E128" s="761"/>
      <c r="F128" s="327">
        <v>359513</v>
      </c>
      <c r="G128" s="656"/>
      <c r="H128" s="434">
        <v>69.959999999999994</v>
      </c>
      <c r="I128" s="434">
        <f>H128+B128/24*(85.04-H128)</f>
        <v>83.155000000000001</v>
      </c>
      <c r="J128" s="440"/>
      <c r="K128" s="909">
        <v>100.49</v>
      </c>
      <c r="L128" s="321">
        <f t="shared" si="12"/>
        <v>-79.510000000000005</v>
      </c>
      <c r="M128" s="322">
        <f t="shared" si="7"/>
        <v>0.18206391236217909</v>
      </c>
      <c r="N128" s="323">
        <f t="shared" si="8"/>
        <v>-0.9832866986873039</v>
      </c>
      <c r="O128" s="491">
        <f>M128+0.3*COS(I128*PI()/180)</f>
        <v>0.21781905386036376</v>
      </c>
      <c r="P128" s="645">
        <f>N128+0.3*SIN(I128*PI()/180)</f>
        <v>-0.685425036406901</v>
      </c>
      <c r="Q128" s="441">
        <f>M129</f>
        <v>0.3734735453517502</v>
      </c>
      <c r="R128" s="501">
        <f>N129</f>
        <v>-0.92764083077578807</v>
      </c>
      <c r="S128" s="364">
        <f>49+360*C128/(8.85*365.24)</f>
        <v>69.478385236361618</v>
      </c>
      <c r="T128" s="441">
        <f>M128+0.3*COS(S128*PI()/180)</f>
        <v>0.28723212679717086</v>
      </c>
      <c r="U128" s="421">
        <f>N128+0.3*SIN(S128*PI()/180)</f>
        <v>-0.70232469650096629</v>
      </c>
      <c r="V128" s="552">
        <v>405900</v>
      </c>
      <c r="W128" s="889">
        <f>F128</f>
        <v>359513</v>
      </c>
      <c r="X128" s="778">
        <f t="shared" si="9"/>
        <v>6.0603883132374289E-2</v>
      </c>
      <c r="Y128" s="550">
        <f t="shared" si="10"/>
        <v>382706.5</v>
      </c>
    </row>
    <row r="129" spans="1:25" x14ac:dyDescent="0.2">
      <c r="A129" s="970">
        <v>39643.166666666664</v>
      </c>
      <c r="B129" s="324">
        <v>4</v>
      </c>
      <c r="C129" s="307">
        <f t="shared" si="11"/>
        <v>196.1633333333285</v>
      </c>
      <c r="D129" s="1031"/>
      <c r="E129" s="626">
        <v>405452</v>
      </c>
      <c r="F129" s="328"/>
      <c r="G129" s="783"/>
      <c r="H129" s="775">
        <v>244.04</v>
      </c>
      <c r="I129" s="612"/>
      <c r="J129" s="417">
        <f>H129+B129/24*(255.91-H129)</f>
        <v>246.01833333333332</v>
      </c>
      <c r="K129" s="910">
        <v>111.93</v>
      </c>
      <c r="L129" s="308">
        <f t="shared" si="12"/>
        <v>-68.069999999999993</v>
      </c>
      <c r="M129" s="309">
        <f t="shared" si="7"/>
        <v>0.3734735453517502</v>
      </c>
      <c r="N129" s="310">
        <f t="shared" si="8"/>
        <v>-0.92764083077578807</v>
      </c>
      <c r="O129" s="311">
        <f>M128</f>
        <v>0.18206391236217909</v>
      </c>
      <c r="P129" s="947">
        <f>N128</f>
        <v>-0.9832866986873039</v>
      </c>
      <c r="Q129" s="370">
        <f>M129+0.2*COS(J129*PI()/180)</f>
        <v>0.2921846836123535</v>
      </c>
      <c r="R129" s="926">
        <f>N129+0.2*SIN(J129*PI()/180)</f>
        <v>-1.1103759422270723</v>
      </c>
      <c r="S129" s="369"/>
      <c r="T129" s="370">
        <f>M128</f>
        <v>0.18206391236217909</v>
      </c>
      <c r="U129" s="933">
        <f>N128</f>
        <v>-0.9832866986873039</v>
      </c>
      <c r="V129" s="426">
        <f>E129</f>
        <v>405452</v>
      </c>
      <c r="W129" s="613">
        <v>361400</v>
      </c>
      <c r="X129" s="778">
        <f t="shared" si="9"/>
        <v>5.7445243671529839E-2</v>
      </c>
      <c r="Y129" s="144">
        <f t="shared" si="10"/>
        <v>383426</v>
      </c>
    </row>
    <row r="130" spans="1:25" x14ac:dyDescent="0.2">
      <c r="A130" s="977"/>
      <c r="B130" s="306"/>
      <c r="C130" s="575"/>
      <c r="D130" s="1028"/>
      <c r="E130" s="636"/>
      <c r="F130" s="600"/>
      <c r="G130" s="964"/>
      <c r="H130" s="960"/>
      <c r="I130" s="616"/>
      <c r="J130" s="621"/>
      <c r="K130" s="602"/>
      <c r="L130" s="617"/>
      <c r="M130" s="604"/>
      <c r="N130" s="605"/>
      <c r="O130" s="606"/>
      <c r="P130" s="946"/>
      <c r="Q130" s="609"/>
      <c r="R130" s="649"/>
      <c r="S130" s="608"/>
      <c r="T130" s="609"/>
      <c r="U130" s="932"/>
      <c r="V130" s="610"/>
      <c r="W130" s="779"/>
      <c r="X130" s="778"/>
      <c r="Y130" s="144"/>
    </row>
    <row r="131" spans="1:25" x14ac:dyDescent="0.2">
      <c r="A131" s="969">
        <v>39658.958333333336</v>
      </c>
      <c r="B131" s="326">
        <v>23</v>
      </c>
      <c r="C131" s="301">
        <f t="shared" si="11"/>
        <v>211.95500000000001</v>
      </c>
      <c r="D131" s="1030">
        <f>D128+1</f>
        <v>9</v>
      </c>
      <c r="E131" s="146"/>
      <c r="F131" s="888">
        <v>363883</v>
      </c>
      <c r="G131" s="656"/>
      <c r="H131" s="431">
        <v>79.48</v>
      </c>
      <c r="I131" s="434">
        <f>H131+B131/24*(94.17-H131)</f>
        <v>93.557916666666671</v>
      </c>
      <c r="J131" s="440"/>
      <c r="K131" s="909">
        <v>127.21</v>
      </c>
      <c r="L131" s="321">
        <f t="shared" si="12"/>
        <v>-52.790000000000006</v>
      </c>
      <c r="M131" s="322">
        <f t="shared" si="7"/>
        <v>0.60473812634969959</v>
      </c>
      <c r="N131" s="323">
        <f t="shared" si="8"/>
        <v>-0.79642438344079769</v>
      </c>
      <c r="O131" s="491">
        <f>M131+0.3*COS(I131*PI()/180)</f>
        <v>0.5861208885642416</v>
      </c>
      <c r="P131" s="645">
        <f>N131+0.3*SIN(I131*PI()/180)</f>
        <v>-0.49700260992183715</v>
      </c>
      <c r="Q131" s="441">
        <f>M132</f>
        <v>0.75126413350351096</v>
      </c>
      <c r="R131" s="501">
        <f>N132</f>
        <v>-0.66000166796093696</v>
      </c>
      <c r="S131" s="364">
        <f>49+360*C131/(8.85*365.24)</f>
        <v>72.606117361419194</v>
      </c>
      <c r="T131" s="441">
        <f>M131+0.3*COS(S131*PI()/180)</f>
        <v>0.69441979878769078</v>
      </c>
      <c r="U131" s="421">
        <f>N131+0.3*SIN(S131*PI()/180)</f>
        <v>-0.51014270811259088</v>
      </c>
      <c r="V131" s="551">
        <v>404900</v>
      </c>
      <c r="W131" s="780">
        <f>F131</f>
        <v>363883</v>
      </c>
      <c r="X131" s="778">
        <f t="shared" si="9"/>
        <v>5.3353156872615548E-2</v>
      </c>
      <c r="Y131" s="550">
        <f t="shared" si="10"/>
        <v>384391.5</v>
      </c>
    </row>
    <row r="132" spans="1:25" x14ac:dyDescent="0.2">
      <c r="A132" s="970">
        <v>39670.833333333336</v>
      </c>
      <c r="B132" s="324">
        <v>20</v>
      </c>
      <c r="C132" s="307">
        <f t="shared" si="11"/>
        <v>223.83</v>
      </c>
      <c r="D132" s="1031"/>
      <c r="E132" s="626">
        <v>404556</v>
      </c>
      <c r="F132" s="328"/>
      <c r="G132" s="783"/>
      <c r="H132" s="775">
        <v>240.41</v>
      </c>
      <c r="I132" s="435"/>
      <c r="J132" s="417">
        <f>H132+B132/24*(252.28-H132)</f>
        <v>250.30166666666668</v>
      </c>
      <c r="K132" s="910">
        <v>138.69999999999999</v>
      </c>
      <c r="L132" s="308">
        <f t="shared" si="12"/>
        <v>-41.300000000000011</v>
      </c>
      <c r="M132" s="309">
        <f t="shared" si="7"/>
        <v>0.75126413350351096</v>
      </c>
      <c r="N132" s="310">
        <f t="shared" si="8"/>
        <v>-0.66000166796093696</v>
      </c>
      <c r="O132" s="311">
        <f>M131</f>
        <v>0.60473812634969959</v>
      </c>
      <c r="P132" s="947">
        <f>N131</f>
        <v>-0.79642438344079769</v>
      </c>
      <c r="Q132" s="370">
        <f>M132+0.2*COS(J132*PI()/180)</f>
        <v>0.68385055910102321</v>
      </c>
      <c r="R132" s="926">
        <f>N132+0.2*SIN(J132*PI()/180)</f>
        <v>-0.84829773798439834</v>
      </c>
      <c r="S132" s="369"/>
      <c r="T132" s="370">
        <f>M131</f>
        <v>0.60473812634969959</v>
      </c>
      <c r="U132" s="933">
        <f>N131</f>
        <v>-0.79642438344079769</v>
      </c>
      <c r="V132" s="426">
        <f>E132</f>
        <v>404556</v>
      </c>
      <c r="W132" s="613">
        <v>366000</v>
      </c>
      <c r="X132" s="778">
        <f t="shared" si="9"/>
        <v>5.0036596950773206E-2</v>
      </c>
      <c r="Y132" s="144">
        <f t="shared" si="10"/>
        <v>385278</v>
      </c>
    </row>
    <row r="133" spans="1:25" x14ac:dyDescent="0.2">
      <c r="A133" s="977"/>
      <c r="B133" s="306"/>
      <c r="C133" s="575"/>
      <c r="D133" s="1028"/>
      <c r="E133" s="144"/>
      <c r="F133" s="888"/>
      <c r="G133" s="964"/>
      <c r="H133" s="960"/>
      <c r="I133" s="623"/>
      <c r="J133" s="621"/>
      <c r="K133" s="602"/>
      <c r="L133" s="617"/>
      <c r="M133" s="604"/>
      <c r="N133" s="605"/>
      <c r="O133" s="606"/>
      <c r="P133" s="946"/>
      <c r="Q133" s="609"/>
      <c r="R133" s="649"/>
      <c r="S133" s="608"/>
      <c r="T133" s="609"/>
      <c r="U133" s="421"/>
      <c r="V133" s="550"/>
      <c r="W133" s="779"/>
      <c r="X133" s="778"/>
      <c r="Y133" s="144"/>
    </row>
    <row r="134" spans="1:25" x14ac:dyDescent="0.2">
      <c r="A134" s="969">
        <v>39686.166666666664</v>
      </c>
      <c r="B134" s="330">
        <v>4</v>
      </c>
      <c r="C134" s="301">
        <f t="shared" si="11"/>
        <v>239.1633333333285</v>
      </c>
      <c r="D134" s="1032">
        <f>D131+1</f>
        <v>10</v>
      </c>
      <c r="E134" s="762"/>
      <c r="F134" s="331">
        <v>368696</v>
      </c>
      <c r="G134" s="656"/>
      <c r="H134" s="322">
        <v>89.81</v>
      </c>
      <c r="I134" s="322">
        <f>H134+B134/24*(104.09-H134)</f>
        <v>92.19</v>
      </c>
      <c r="J134" s="440"/>
      <c r="K134" s="914">
        <v>153.13</v>
      </c>
      <c r="L134" s="321">
        <f t="shared" si="12"/>
        <v>-26.870000000000005</v>
      </c>
      <c r="M134" s="322">
        <f t="shared" si="7"/>
        <v>0.89203430160854824</v>
      </c>
      <c r="N134" s="323">
        <f t="shared" si="8"/>
        <v>-0.45196770321976498</v>
      </c>
      <c r="O134" s="491">
        <f>M134+0.3*COS(I134*PI()/180)</f>
        <v>0.88057028034138396</v>
      </c>
      <c r="P134" s="645">
        <f>N134+0.3*SIN(I134*PI()/180)</f>
        <v>-0.1521868228814986</v>
      </c>
      <c r="Q134" s="441">
        <f>M135</f>
        <v>0.96910189128972857</v>
      </c>
      <c r="R134" s="501">
        <f>N135</f>
        <v>-0.24666074738123839</v>
      </c>
      <c r="S134" s="364">
        <f>49+360*C134/(8.85*365.24)</f>
        <v>75.636397892075067</v>
      </c>
      <c r="T134" s="441">
        <f>M134+0.3*COS(S134*PI()/180)</f>
        <v>0.9664566611861457</v>
      </c>
      <c r="U134" s="936">
        <f>N134+0.3*SIN(S134*PI()/180)</f>
        <v>-0.16134541846702483</v>
      </c>
      <c r="V134" s="548">
        <v>404200</v>
      </c>
      <c r="W134" s="780">
        <f>F134</f>
        <v>368696</v>
      </c>
      <c r="X134" s="778">
        <f t="shared" si="9"/>
        <v>4.5936322610027738E-2</v>
      </c>
      <c r="Y134" s="144">
        <f t="shared" si="10"/>
        <v>386448</v>
      </c>
    </row>
    <row r="135" spans="1:25" x14ac:dyDescent="0.2">
      <c r="A135" s="972">
        <v>39698.625</v>
      </c>
      <c r="B135" s="332">
        <v>15</v>
      </c>
      <c r="C135" s="333">
        <f t="shared" si="11"/>
        <v>251.62166666666425</v>
      </c>
      <c r="D135" s="1035"/>
      <c r="E135" s="765">
        <v>404214</v>
      </c>
      <c r="F135" s="334"/>
      <c r="G135" s="785"/>
      <c r="H135" s="336">
        <v>248.35</v>
      </c>
      <c r="I135" s="637"/>
      <c r="J135" s="439">
        <f>H135+B135/24*(260.62-H135)</f>
        <v>256.01875000000001</v>
      </c>
      <c r="K135" s="915">
        <v>165.72</v>
      </c>
      <c r="L135" s="335">
        <f t="shared" si="12"/>
        <v>-14.280000000000001</v>
      </c>
      <c r="M135" s="336">
        <f t="shared" si="7"/>
        <v>0.96910189128972857</v>
      </c>
      <c r="N135" s="337">
        <f t="shared" si="8"/>
        <v>-0.24666074738123839</v>
      </c>
      <c r="O135" s="311">
        <f>M134</f>
        <v>0.89203430160854824</v>
      </c>
      <c r="P135" s="947">
        <f>N134</f>
        <v>-0.45196770321976498</v>
      </c>
      <c r="Q135" s="398">
        <f>M135+0.2*COS(J135*PI()/180)</f>
        <v>0.92078102046623367</v>
      </c>
      <c r="R135" s="927">
        <f>N135+0.2*SIN(J135*PI()/180)</f>
        <v>-0.44073571599609901</v>
      </c>
      <c r="S135" s="414"/>
      <c r="T135" s="370">
        <f>M134</f>
        <v>0.89203430160854824</v>
      </c>
      <c r="U135" s="933">
        <f>N134</f>
        <v>-0.45196770321976498</v>
      </c>
      <c r="V135" s="425">
        <f>E135</f>
        <v>404214</v>
      </c>
      <c r="W135" s="781">
        <v>369600</v>
      </c>
      <c r="X135" s="778">
        <f t="shared" si="9"/>
        <v>4.4731679705975858E-2</v>
      </c>
      <c r="Y135" s="144">
        <f t="shared" si="10"/>
        <v>386907</v>
      </c>
    </row>
    <row r="136" spans="1:25" x14ac:dyDescent="0.2">
      <c r="A136" s="978"/>
      <c r="B136" s="583"/>
      <c r="C136" s="578"/>
      <c r="D136" s="1299"/>
      <c r="E136" s="922"/>
      <c r="F136" s="584"/>
      <c r="G136" s="965"/>
      <c r="H136" s="641"/>
      <c r="I136" s="639"/>
      <c r="J136" s="629"/>
      <c r="K136" s="629"/>
      <c r="L136" s="640"/>
      <c r="M136" s="641"/>
      <c r="N136" s="642"/>
      <c r="O136" s="638"/>
      <c r="P136" s="950"/>
      <c r="Q136" s="631"/>
      <c r="R136" s="632"/>
      <c r="S136" s="634"/>
      <c r="T136" s="631"/>
      <c r="U136" s="935"/>
      <c r="V136" s="635"/>
      <c r="W136" s="939"/>
      <c r="X136" s="778"/>
      <c r="Y136" s="682"/>
    </row>
    <row r="137" spans="1:25" x14ac:dyDescent="0.2">
      <c r="A137" s="969">
        <v>39711.125</v>
      </c>
      <c r="B137" s="326">
        <v>3</v>
      </c>
      <c r="C137" s="301">
        <f t="shared" si="11"/>
        <v>264.12166666666423</v>
      </c>
      <c r="D137" s="1030">
        <f>D134+1</f>
        <v>11</v>
      </c>
      <c r="E137" s="761"/>
      <c r="F137" s="327">
        <v>368886</v>
      </c>
      <c r="G137" s="656"/>
      <c r="H137" s="434">
        <v>58.04</v>
      </c>
      <c r="I137" s="431">
        <f>H137+B137/24*(72.34-H137)</f>
        <v>59.827500000000001</v>
      </c>
      <c r="J137" s="440"/>
      <c r="K137" s="909">
        <v>177.4</v>
      </c>
      <c r="L137" s="321">
        <f t="shared" si="12"/>
        <v>-2.5999999999999943</v>
      </c>
      <c r="M137" s="322">
        <f t="shared" si="7"/>
        <v>0.99897056979071475</v>
      </c>
      <c r="N137" s="323">
        <f t="shared" si="8"/>
        <v>-4.5362988129253684E-2</v>
      </c>
      <c r="O137" s="491">
        <f>M137+0.3*COS(I137*PI()/180)</f>
        <v>1.1497520897649671</v>
      </c>
      <c r="P137" s="645">
        <f>N137+0.3*SIN(I137*PI()/180)</f>
        <v>0.2139918522617715</v>
      </c>
      <c r="Q137" s="441">
        <f>M138</f>
        <v>0.97771000650821194</v>
      </c>
      <c r="R137" s="501">
        <f>N138</f>
        <v>0.20995986086324245</v>
      </c>
      <c r="S137" s="364">
        <f>49+360*C137/(8.85*365.24)</f>
        <v>78.416088608558027</v>
      </c>
      <c r="T137" s="441">
        <f>M137+0.3*COS(S137*PI()/180)</f>
        <v>1.0592114245759927</v>
      </c>
      <c r="U137" s="421">
        <f>N137+0.3*SIN(S137*PI()/180)</f>
        <v>0.24852651391996725</v>
      </c>
      <c r="V137" s="551">
        <v>404400</v>
      </c>
      <c r="W137" s="780">
        <f>F137</f>
        <v>368886</v>
      </c>
      <c r="X137" s="778">
        <f t="shared" si="9"/>
        <v>4.5926086855316142E-2</v>
      </c>
    </row>
    <row r="138" spans="1:25" x14ac:dyDescent="0.2">
      <c r="A138" s="970">
        <v>39726.458333333336</v>
      </c>
      <c r="B138" s="324">
        <v>11</v>
      </c>
      <c r="C138" s="307">
        <f t="shared" si="11"/>
        <v>279.45499999999998</v>
      </c>
      <c r="D138" s="1031"/>
      <c r="E138" s="626">
        <v>404721</v>
      </c>
      <c r="F138" s="328"/>
      <c r="G138" s="783"/>
      <c r="H138" s="775">
        <v>256.27999999999997</v>
      </c>
      <c r="I138" s="643"/>
      <c r="J138" s="417">
        <f>H138+B138/24*(268.12-H138)</f>
        <v>261.70666666666665</v>
      </c>
      <c r="K138" s="910">
        <v>192.12</v>
      </c>
      <c r="L138" s="308">
        <f t="shared" si="12"/>
        <v>12.120000000000005</v>
      </c>
      <c r="M138" s="309">
        <f t="shared" si="7"/>
        <v>0.97771000650821194</v>
      </c>
      <c r="N138" s="310">
        <f t="shared" si="8"/>
        <v>0.20995986086324245</v>
      </c>
      <c r="O138" s="311">
        <f>M137</f>
        <v>0.99897056979071475</v>
      </c>
      <c r="P138" s="947">
        <f>N137</f>
        <v>-4.5362988129253684E-2</v>
      </c>
      <c r="Q138" s="370">
        <f>M138+0.2*COS(J138*PI()/180)</f>
        <v>0.94886179381413949</v>
      </c>
      <c r="R138" s="926">
        <f>N138+0.2*SIN(J138*PI()/180)</f>
        <v>1.2051345067793234E-2</v>
      </c>
      <c r="S138" s="369"/>
      <c r="T138" s="370">
        <f>M137</f>
        <v>0.99897056979071475</v>
      </c>
      <c r="U138" s="933">
        <f>N137</f>
        <v>-4.5362988129253684E-2</v>
      </c>
      <c r="V138" s="426">
        <f>E138</f>
        <v>404721</v>
      </c>
      <c r="W138" s="613">
        <v>366000</v>
      </c>
      <c r="X138" s="778">
        <f t="shared" si="9"/>
        <v>5.0239970105913814E-2</v>
      </c>
    </row>
    <row r="139" spans="1:25" x14ac:dyDescent="0.2">
      <c r="A139" s="977"/>
      <c r="B139" s="306"/>
      <c r="C139" s="575"/>
      <c r="D139" s="1028"/>
      <c r="E139" s="144"/>
      <c r="F139" s="888"/>
      <c r="G139" s="964"/>
      <c r="H139" s="960"/>
      <c r="I139" s="616"/>
      <c r="J139" s="621"/>
      <c r="K139" s="602"/>
      <c r="L139" s="617"/>
      <c r="M139" s="604"/>
      <c r="N139" s="605"/>
      <c r="O139" s="606"/>
      <c r="P139" s="946"/>
      <c r="Q139" s="609"/>
      <c r="R139" s="649"/>
      <c r="S139" s="608"/>
      <c r="T139" s="609"/>
      <c r="U139" s="932"/>
      <c r="V139" s="610"/>
      <c r="W139" s="611"/>
      <c r="X139" s="778"/>
    </row>
    <row r="140" spans="1:25" x14ac:dyDescent="0.2">
      <c r="A140" s="969">
        <v>39738.25</v>
      </c>
      <c r="B140" s="326">
        <v>6</v>
      </c>
      <c r="C140" s="301">
        <f t="shared" si="11"/>
        <v>291.24666666666423</v>
      </c>
      <c r="D140" s="1030">
        <f>D137+1</f>
        <v>12</v>
      </c>
      <c r="E140" s="761"/>
      <c r="F140" s="327">
        <v>363823</v>
      </c>
      <c r="G140" s="656"/>
      <c r="H140" s="434">
        <v>53.59</v>
      </c>
      <c r="I140" s="431">
        <f>H140+B140/24*(68.33-H140)</f>
        <v>57.275000000000006</v>
      </c>
      <c r="J140" s="440"/>
      <c r="K140" s="909">
        <v>203.99</v>
      </c>
      <c r="L140" s="321">
        <f t="shared" si="12"/>
        <v>23.990000000000009</v>
      </c>
      <c r="M140" s="322">
        <f t="shared" si="7"/>
        <v>0.9136164326642493</v>
      </c>
      <c r="N140" s="323">
        <f t="shared" si="8"/>
        <v>0.40657719312063151</v>
      </c>
      <c r="O140" s="491">
        <f>M140+0.3*COS(I140*PI()/180)</f>
        <v>1.0757986668797006</v>
      </c>
      <c r="P140" s="645">
        <f>N140+0.3*SIN(I140*PI()/180)</f>
        <v>0.65895968638211833</v>
      </c>
      <c r="Q140" s="441">
        <f>M141</f>
        <v>0.76671714857592521</v>
      </c>
      <c r="R140" s="501">
        <f>N141</f>
        <v>0.64198505752050228</v>
      </c>
      <c r="S140" s="364">
        <f>49+360*C140/(8.85*365.24)</f>
        <v>81.437088034985777</v>
      </c>
      <c r="T140" s="441">
        <f>M140+0.3*COS(S140*PI()/180)</f>
        <v>0.95828501724165582</v>
      </c>
      <c r="U140" s="421">
        <f>N140+0.3*SIN(S140*PI()/180)</f>
        <v>0.70323308392991768</v>
      </c>
      <c r="V140" s="552">
        <v>405100</v>
      </c>
      <c r="W140" s="889">
        <f>F140</f>
        <v>363823</v>
      </c>
      <c r="X140" s="778">
        <f t="shared" si="9"/>
        <v>5.3681577999357542E-2</v>
      </c>
    </row>
    <row r="141" spans="1:25" x14ac:dyDescent="0.2">
      <c r="A141" s="970">
        <v>39754.208333333336</v>
      </c>
      <c r="B141" s="324">
        <v>5</v>
      </c>
      <c r="C141" s="307">
        <f t="shared" si="11"/>
        <v>307.20499999999998</v>
      </c>
      <c r="D141" s="1031"/>
      <c r="E141" s="626">
        <v>405724</v>
      </c>
      <c r="F141" s="328"/>
      <c r="G141" s="783"/>
      <c r="H141" s="775">
        <v>264.48</v>
      </c>
      <c r="I141" s="435"/>
      <c r="J141" s="417">
        <f>H141+B141/24*(276.28-H141)</f>
        <v>266.93833333333333</v>
      </c>
      <c r="K141" s="910">
        <v>219.94</v>
      </c>
      <c r="L141" s="308">
        <f t="shared" si="12"/>
        <v>39.94</v>
      </c>
      <c r="M141" s="309">
        <f t="shared" si="7"/>
        <v>0.76671714857592521</v>
      </c>
      <c r="N141" s="310">
        <f t="shared" si="8"/>
        <v>0.64198505752050228</v>
      </c>
      <c r="O141" s="311">
        <f>M140</f>
        <v>0.9136164326642493</v>
      </c>
      <c r="P141" s="947">
        <f>N140</f>
        <v>0.40657719312063151</v>
      </c>
      <c r="Q141" s="370">
        <f>M141+0.2*COS(J141*PI()/180)</f>
        <v>0.75603500115959565</v>
      </c>
      <c r="R141" s="926">
        <f>N141+0.2*SIN(J141*PI()/180)</f>
        <v>0.44227053194317778</v>
      </c>
      <c r="S141" s="369"/>
      <c r="T141" s="370">
        <f>M140</f>
        <v>0.9136164326642493</v>
      </c>
      <c r="U141" s="933">
        <f>N140</f>
        <v>0.40657719312063151</v>
      </c>
      <c r="V141" s="426">
        <f>E141</f>
        <v>405724</v>
      </c>
      <c r="W141" s="613">
        <v>361000</v>
      </c>
      <c r="X141" s="778">
        <f t="shared" si="9"/>
        <v>5.8331290007877672E-2</v>
      </c>
    </row>
    <row r="142" spans="1:25" x14ac:dyDescent="0.2">
      <c r="A142" s="977"/>
      <c r="B142" s="306"/>
      <c r="C142" s="575"/>
      <c r="D142" s="1028"/>
      <c r="E142" s="144"/>
      <c r="F142" s="888"/>
      <c r="G142" s="964"/>
      <c r="H142" s="960"/>
      <c r="I142" s="623"/>
      <c r="J142" s="621"/>
      <c r="K142" s="602"/>
      <c r="L142" s="617"/>
      <c r="M142" s="604"/>
      <c r="N142" s="605"/>
      <c r="O142" s="606"/>
      <c r="P142" s="946"/>
      <c r="Q142" s="609"/>
      <c r="R142" s="649"/>
      <c r="S142" s="608"/>
      <c r="T142" s="609"/>
      <c r="U142" s="932"/>
      <c r="V142" s="610"/>
      <c r="W142" s="611"/>
      <c r="X142" s="778"/>
    </row>
    <row r="143" spans="1:25" x14ac:dyDescent="0.2">
      <c r="A143" s="969">
        <v>39766.416666666664</v>
      </c>
      <c r="B143" s="326">
        <v>10</v>
      </c>
      <c r="C143" s="301">
        <f t="shared" si="11"/>
        <v>319.41333333332847</v>
      </c>
      <c r="D143" s="1030">
        <f>D140+1</f>
        <v>13</v>
      </c>
      <c r="E143" s="761"/>
      <c r="F143" s="327">
        <v>358971</v>
      </c>
      <c r="G143" s="656"/>
      <c r="H143" s="434">
        <v>62.4</v>
      </c>
      <c r="I143" s="434">
        <f>H143+B143/24*(77.55-H143)</f>
        <v>68.712500000000006</v>
      </c>
      <c r="J143" s="440"/>
      <c r="K143" s="909">
        <v>231.98</v>
      </c>
      <c r="L143" s="321">
        <f t="shared" si="12"/>
        <v>51.97999999999999</v>
      </c>
      <c r="M143" s="322">
        <f t="shared" si="7"/>
        <v>0.61593650545566203</v>
      </c>
      <c r="N143" s="323">
        <f t="shared" si="8"/>
        <v>0.78779579920628362</v>
      </c>
      <c r="O143" s="491">
        <f>M143+0.3*COS(I143*PI()/180)</f>
        <v>0.72485089295636784</v>
      </c>
      <c r="P143" s="645">
        <f>N143+0.3*SIN(I143*PI()/180)</f>
        <v>1.0673269355674162</v>
      </c>
      <c r="Q143" s="441">
        <f>M144</f>
        <v>0.37217795077787158</v>
      </c>
      <c r="R143" s="501">
        <f>N144</f>
        <v>0.92816139380755558</v>
      </c>
      <c r="S143" s="364">
        <f>49+360*C143/(8.85*365.24)</f>
        <v>84.574101264271476</v>
      </c>
      <c r="T143" s="441">
        <f>M143+0.3*COS(S143*PI()/180)</f>
        <v>0.64430400020370526</v>
      </c>
      <c r="U143" s="421">
        <f>N143+0.3*SIN(S143*PI()/180)</f>
        <v>1.0864515964741748</v>
      </c>
      <c r="V143" s="551">
        <v>406100</v>
      </c>
      <c r="W143" s="889">
        <f>F143</f>
        <v>358971</v>
      </c>
      <c r="X143" s="778">
        <f t="shared" si="9"/>
        <v>6.1600818747541079E-2</v>
      </c>
    </row>
    <row r="144" spans="1:25" x14ac:dyDescent="0.2">
      <c r="A144" s="970">
        <v>39781.708333333336</v>
      </c>
      <c r="B144" s="324">
        <v>17</v>
      </c>
      <c r="C144" s="307">
        <f t="shared" si="11"/>
        <v>334.70499999999998</v>
      </c>
      <c r="D144" s="1031"/>
      <c r="E144" s="626">
        <v>406480</v>
      </c>
      <c r="F144" s="328"/>
      <c r="G144" s="783"/>
      <c r="H144" s="775">
        <v>261.23</v>
      </c>
      <c r="I144" s="437"/>
      <c r="J144" s="417">
        <f>H144+B144/24*(273.05-H144)</f>
        <v>269.60250000000002</v>
      </c>
      <c r="K144" s="910">
        <v>248.15</v>
      </c>
      <c r="L144" s="308">
        <f t="shared" si="12"/>
        <v>68.150000000000006</v>
      </c>
      <c r="M144" s="309">
        <f t="shared" si="7"/>
        <v>0.37217795077787158</v>
      </c>
      <c r="N144" s="310">
        <f t="shared" si="8"/>
        <v>0.92816139380755558</v>
      </c>
      <c r="O144" s="311">
        <f>M143</f>
        <v>0.61593650545566203</v>
      </c>
      <c r="P144" s="947">
        <f>N143</f>
        <v>0.78779579920628362</v>
      </c>
      <c r="Q144" s="370">
        <f>M144+0.2*COS(J144*PI()/180)</f>
        <v>0.37079042515320348</v>
      </c>
      <c r="R144" s="926">
        <f>N144+0.2*SIN(J144*PI()/180)</f>
        <v>0.7281662069338688</v>
      </c>
      <c r="S144" s="369"/>
      <c r="T144" s="370">
        <f>M143</f>
        <v>0.61593650545566203</v>
      </c>
      <c r="U144" s="933">
        <f>N143</f>
        <v>0.78779579920628362</v>
      </c>
      <c r="V144" s="426">
        <f>E144</f>
        <v>406480</v>
      </c>
      <c r="W144" s="613">
        <v>357400</v>
      </c>
      <c r="X144" s="778">
        <f t="shared" si="9"/>
        <v>6.4250929465361054E-2</v>
      </c>
    </row>
    <row r="145" spans="1:24" x14ac:dyDescent="0.2">
      <c r="A145" s="977"/>
      <c r="B145" s="306"/>
      <c r="C145" s="575"/>
      <c r="D145" s="889"/>
      <c r="E145" s="144"/>
      <c r="F145" s="888"/>
      <c r="G145" s="964"/>
      <c r="H145" s="961"/>
      <c r="I145" s="644"/>
      <c r="J145" s="621"/>
      <c r="K145" s="602"/>
      <c r="L145" s="617"/>
      <c r="M145" s="604"/>
      <c r="N145" s="605"/>
      <c r="O145" s="606"/>
      <c r="P145" s="946"/>
      <c r="Q145" s="609"/>
      <c r="R145" s="649"/>
      <c r="S145" s="608"/>
      <c r="T145" s="609"/>
      <c r="U145" s="932"/>
      <c r="V145" s="550"/>
      <c r="W145" s="779"/>
      <c r="X145" s="778"/>
    </row>
    <row r="146" spans="1:24" x14ac:dyDescent="0.2">
      <c r="A146" s="971">
        <v>39794.916666666664</v>
      </c>
      <c r="B146" s="406">
        <v>22</v>
      </c>
      <c r="C146" s="313">
        <f t="shared" si="11"/>
        <v>347.91333333332847</v>
      </c>
      <c r="D146" s="1036">
        <f>D143+1</f>
        <v>14</v>
      </c>
      <c r="E146" s="766"/>
      <c r="F146" s="407">
        <v>356566</v>
      </c>
      <c r="G146" s="784"/>
      <c r="H146" s="582">
        <v>70.430000000000007</v>
      </c>
      <c r="I146" s="505">
        <f>H146+B146/24*(85.75-H146)</f>
        <v>84.473333333333329</v>
      </c>
      <c r="J146" s="444"/>
      <c r="K146" s="911">
        <v>261.33999999999997</v>
      </c>
      <c r="L146" s="580">
        <f t="shared" si="12"/>
        <v>81.339999999999975</v>
      </c>
      <c r="M146" s="581">
        <f t="shared" si="7"/>
        <v>0.15057068452350825</v>
      </c>
      <c r="N146" s="582">
        <f t="shared" si="8"/>
        <v>0.98859924588385262</v>
      </c>
      <c r="O146" s="409">
        <f>M146+0.3*COS(I146*PI()/180)</f>
        <v>0.17946339068847411</v>
      </c>
      <c r="P146" s="951">
        <f>N146+0.3*SIN(I146*PI()/180)</f>
        <v>1.2872046904599102</v>
      </c>
      <c r="Q146" s="441">
        <f>M147</f>
        <v>-9.7582899759149772E-2</v>
      </c>
      <c r="R146" s="501">
        <f>N147</f>
        <v>0.99522739998183118</v>
      </c>
      <c r="S146" s="411">
        <f>49+360*C146/(8.85*365.24)</f>
        <v>87.748238910472068</v>
      </c>
      <c r="T146" s="581">
        <f>M146+0.3*COS(S146*PI()/180)</f>
        <v>0.16235784317977905</v>
      </c>
      <c r="U146" s="934">
        <f>N146+0.3*SIN(S146*PI()/180)</f>
        <v>1.2883675945980086</v>
      </c>
      <c r="V146" s="553">
        <v>406600</v>
      </c>
      <c r="W146" s="780">
        <f>F146</f>
        <v>356566</v>
      </c>
      <c r="X146" s="778">
        <f t="shared" si="9"/>
        <v>6.5561096799385724E-2</v>
      </c>
    </row>
    <row r="147" spans="1:24" x14ac:dyDescent="0.2">
      <c r="A147" s="974">
        <v>39808.75</v>
      </c>
      <c r="B147" s="415">
        <v>18</v>
      </c>
      <c r="C147" s="307">
        <f t="shared" si="11"/>
        <v>361.74666666666423</v>
      </c>
      <c r="D147" s="494"/>
      <c r="E147" s="767">
        <v>406601</v>
      </c>
      <c r="F147" s="416"/>
      <c r="G147" s="783"/>
      <c r="H147" s="419">
        <v>258.2</v>
      </c>
      <c r="I147" s="495"/>
      <c r="J147" s="417">
        <f>H147+B147/24*(270.03-H147)</f>
        <v>267.07249999999999</v>
      </c>
      <c r="K147" s="627">
        <v>275.60000000000002</v>
      </c>
      <c r="L147" s="418">
        <f>K147-180</f>
        <v>95.600000000000023</v>
      </c>
      <c r="M147" s="370">
        <f t="shared" si="7"/>
        <v>-9.7582899759149772E-2</v>
      </c>
      <c r="N147" s="419">
        <f t="shared" si="8"/>
        <v>0.99522739998183118</v>
      </c>
      <c r="O147" s="311">
        <f>M146</f>
        <v>0.15057068452350825</v>
      </c>
      <c r="P147" s="947">
        <f>N146</f>
        <v>0.98859924588385262</v>
      </c>
      <c r="Q147" s="370">
        <f>M147+0.2*COS(J147*PI()/180)</f>
        <v>-0.1077973567812921</v>
      </c>
      <c r="R147" s="926">
        <f>N147+0.2*SIN(J147*PI()/180)</f>
        <v>0.79548840812560195</v>
      </c>
      <c r="S147" s="369"/>
      <c r="T147" s="370">
        <f>M146</f>
        <v>0.15057068452350825</v>
      </c>
      <c r="U147" s="933">
        <f>N146</f>
        <v>0.98859924588385262</v>
      </c>
      <c r="V147" s="427">
        <f>E147</f>
        <v>406601</v>
      </c>
      <c r="W147" s="940">
        <v>356600</v>
      </c>
      <c r="X147" s="778">
        <f t="shared" si="9"/>
        <v>6.5514851264607876E-2</v>
      </c>
    </row>
    <row r="148" spans="1:24" x14ac:dyDescent="0.2">
      <c r="A148" s="979"/>
      <c r="B148" s="651"/>
      <c r="C148" s="575"/>
      <c r="D148" s="1303"/>
      <c r="E148" s="923"/>
      <c r="F148" s="646"/>
      <c r="G148" s="964"/>
      <c r="H148" s="649"/>
      <c r="I148" s="647"/>
      <c r="J148" s="621"/>
      <c r="K148" s="621"/>
      <c r="L148" s="648"/>
      <c r="M148" s="609"/>
      <c r="N148" s="649"/>
      <c r="O148" s="607"/>
      <c r="P148" s="952"/>
      <c r="Q148" s="609"/>
      <c r="R148" s="649"/>
      <c r="S148" s="608"/>
      <c r="T148" s="609"/>
      <c r="U148" s="932"/>
      <c r="V148" s="650"/>
      <c r="W148" s="941"/>
      <c r="X148" s="778"/>
    </row>
    <row r="149" spans="1:24" x14ac:dyDescent="0.2">
      <c r="A149" s="969">
        <v>39823.458333333336</v>
      </c>
      <c r="B149" s="339">
        <v>11</v>
      </c>
      <c r="C149" s="301">
        <f t="shared" si="11"/>
        <v>376.45499999999998</v>
      </c>
      <c r="D149" s="1032">
        <v>15</v>
      </c>
      <c r="E149" s="768"/>
      <c r="F149" s="340">
        <v>357497</v>
      </c>
      <c r="G149" s="656"/>
      <c r="H149" s="323">
        <v>93.65</v>
      </c>
      <c r="I149" s="438">
        <f>H149+B149/24*(108.86-H149)</f>
        <v>100.62125</v>
      </c>
      <c r="J149" s="440"/>
      <c r="K149" s="914">
        <v>290.38</v>
      </c>
      <c r="L149" s="341">
        <f>K149-180</f>
        <v>110.38</v>
      </c>
      <c r="M149" s="645">
        <f t="shared" si="7"/>
        <v>-0.34824485295751056</v>
      </c>
      <c r="N149" s="323">
        <f t="shared" si="8"/>
        <v>0.93740360698506053</v>
      </c>
      <c r="O149" s="491">
        <f>M149+0.3*COS(I149*PI()/180)</f>
        <v>-0.40353962038921593</v>
      </c>
      <c r="P149" s="645">
        <f>N149+0.3*SIN(I149*PI()/180)</f>
        <v>1.2322637241502574</v>
      </c>
      <c r="Q149" s="441">
        <f>M150</f>
        <v>-0.54624816219418426</v>
      </c>
      <c r="R149" s="501">
        <f>N150</f>
        <v>0.83762339108902406</v>
      </c>
      <c r="S149" s="364">
        <f>49+360*C149/(8.85*365.24)</f>
        <v>90.927017108787538</v>
      </c>
      <c r="T149" s="441">
        <f>M149+0.3*COS(S149*PI()/180)</f>
        <v>-0.35309849142103256</v>
      </c>
      <c r="U149" s="421">
        <f>N149+0.3*SIN(S149*PI()/180)</f>
        <v>1.2373643414048598</v>
      </c>
      <c r="V149" s="551">
        <v>406400</v>
      </c>
      <c r="W149" s="780">
        <f>F149</f>
        <v>357497</v>
      </c>
      <c r="X149" s="778">
        <f t="shared" si="9"/>
        <v>6.4017792974707319E-2</v>
      </c>
    </row>
    <row r="150" spans="1:24" ht="13.5" thickBot="1" x14ac:dyDescent="0.25">
      <c r="A150" s="975">
        <v>39836</v>
      </c>
      <c r="B150" s="1037">
        <v>0</v>
      </c>
      <c r="C150" s="1038">
        <f t="shared" si="11"/>
        <v>388.99666666666423</v>
      </c>
      <c r="D150" s="1039"/>
      <c r="E150" s="769">
        <v>406118</v>
      </c>
      <c r="F150" s="770"/>
      <c r="G150" s="657"/>
      <c r="H150" s="772">
        <v>266.89999999999998</v>
      </c>
      <c r="I150" s="771"/>
      <c r="J150" s="924">
        <f>H150+B150/24*(278.71-H150)</f>
        <v>266.89999999999998</v>
      </c>
      <c r="K150" s="917">
        <v>303.11</v>
      </c>
      <c r="L150" s="321">
        <f>K150-180</f>
        <v>123.11000000000001</v>
      </c>
      <c r="M150" s="322">
        <f t="shared" si="7"/>
        <v>-0.54624816219418426</v>
      </c>
      <c r="N150" s="323">
        <f t="shared" si="8"/>
        <v>0.83762339108902406</v>
      </c>
      <c r="O150" s="311">
        <f>M149</f>
        <v>-0.34824485295751056</v>
      </c>
      <c r="P150" s="953">
        <f>N149</f>
        <v>0.93740360698506053</v>
      </c>
      <c r="Q150" s="930">
        <f>M150+0.2*COS(J150*PI()/180)</f>
        <v>-0.55706392479113942</v>
      </c>
      <c r="R150" s="928">
        <f>N150+0.2*SIN(J150*PI()/180)</f>
        <v>0.63791605702378174</v>
      </c>
      <c r="S150" s="373"/>
      <c r="T150" s="930">
        <f>M149</f>
        <v>-0.34824485295751056</v>
      </c>
      <c r="U150" s="937">
        <f>N149</f>
        <v>0.93740360698506053</v>
      </c>
      <c r="V150" s="404">
        <f>E150</f>
        <v>406118</v>
      </c>
      <c r="W150" s="942"/>
      <c r="X150" s="348">
        <f t="shared" si="9"/>
        <v>1</v>
      </c>
    </row>
    <row r="151" spans="1:24" x14ac:dyDescent="0.2">
      <c r="A151" s="3"/>
      <c r="B151" s="1375"/>
      <c r="C151" s="1407"/>
      <c r="D151" s="1407"/>
      <c r="E151" s="1407"/>
      <c r="F151" s="1407"/>
      <c r="G151" s="1401" t="s">
        <v>107</v>
      </c>
      <c r="H151" s="1402"/>
      <c r="I151" s="1402"/>
      <c r="J151" s="1402"/>
      <c r="K151" s="1402"/>
      <c r="L151" s="1402"/>
      <c r="M151" s="1372">
        <f>C135-C113</f>
        <v>206.58333333333576</v>
      </c>
      <c r="N151" s="1408"/>
      <c r="O151" s="503"/>
      <c r="P151" s="502"/>
      <c r="Q151" s="502"/>
      <c r="R151" s="502"/>
      <c r="S151" s="1374" t="s">
        <v>119</v>
      </c>
      <c r="T151" s="1407"/>
      <c r="U151" s="1407"/>
      <c r="V151" s="1407"/>
      <c r="W151" s="1407"/>
      <c r="X151" s="571">
        <f xml:space="preserve"> AVERAGE(X113:X135)</f>
        <v>5.5072695607222305E-2</v>
      </c>
    </row>
    <row r="152" spans="1:24" ht="13.5" thickBot="1" x14ac:dyDescent="0.25">
      <c r="A152" s="504"/>
      <c r="B152" s="504"/>
      <c r="C152" s="493"/>
      <c r="D152" s="1336"/>
      <c r="E152" s="1337"/>
      <c r="F152" s="1337"/>
      <c r="G152" s="1399" t="s">
        <v>118</v>
      </c>
      <c r="H152" s="1400"/>
      <c r="I152" s="1400"/>
      <c r="J152" s="1400"/>
      <c r="K152" s="1400"/>
      <c r="L152" s="1400"/>
      <c r="M152" s="1370">
        <f>C146-C123</f>
        <v>206.33333333332845</v>
      </c>
      <c r="N152" s="1409"/>
      <c r="O152" s="492"/>
      <c r="P152" s="504"/>
      <c r="Q152" s="504"/>
      <c r="R152" s="504"/>
      <c r="S152" s="492"/>
      <c r="T152" s="504"/>
      <c r="U152" s="1336" t="s">
        <v>120</v>
      </c>
      <c r="V152" s="1337"/>
      <c r="W152" s="1337"/>
      <c r="X152" s="348">
        <f xml:space="preserve"> AVERAGE(X123:X146)</f>
        <v>5.6475849613826554E-2</v>
      </c>
    </row>
    <row r="153" spans="1:24" x14ac:dyDescent="0.2">
      <c r="A153" s="345"/>
      <c r="B153" s="345"/>
      <c r="C153" s="345"/>
      <c r="D153" s="345"/>
      <c r="E153" s="345"/>
      <c r="F153" s="345"/>
      <c r="G153" s="345"/>
      <c r="H153" s="345"/>
      <c r="I153" s="346"/>
      <c r="J153" s="346"/>
      <c r="K153" s="346"/>
      <c r="L153" s="1338"/>
      <c r="M153" s="1339"/>
      <c r="N153" s="1339"/>
      <c r="O153" s="1339"/>
      <c r="P153" s="346"/>
      <c r="Q153" s="1340"/>
      <c r="R153" s="1340"/>
      <c r="S153" s="1340"/>
      <c r="T153" s="346"/>
      <c r="U153" s="1341"/>
      <c r="V153" s="1341"/>
      <c r="W153" s="35"/>
      <c r="X153" s="35"/>
    </row>
    <row r="154" spans="1:24" x14ac:dyDescent="0.2">
      <c r="A154" s="573"/>
      <c r="B154" s="345"/>
      <c r="C154" s="345"/>
      <c r="D154" s="345"/>
      <c r="E154" s="430"/>
      <c r="F154" s="345"/>
      <c r="G154" s="345"/>
      <c r="H154" s="345"/>
      <c r="I154" s="1324"/>
      <c r="J154" s="1324"/>
      <c r="K154" s="1324"/>
      <c r="L154" s="660"/>
      <c r="M154" s="660"/>
      <c r="N154" s="660"/>
      <c r="O154" s="660"/>
      <c r="P154" s="346"/>
      <c r="Q154" s="346"/>
      <c r="R154" s="660"/>
      <c r="S154" s="660"/>
      <c r="T154" s="346"/>
      <c r="U154" s="660"/>
      <c r="V154" s="660"/>
      <c r="W154" s="35"/>
      <c r="X154" s="284"/>
    </row>
    <row r="155" spans="1:24" x14ac:dyDescent="0.2">
      <c r="A155" s="574"/>
      <c r="B155" s="345"/>
      <c r="C155" s="345"/>
      <c r="D155" s="345"/>
      <c r="E155" s="345"/>
      <c r="F155" s="345"/>
      <c r="G155" s="345"/>
      <c r="H155" s="345"/>
      <c r="I155" s="346"/>
      <c r="J155" s="347"/>
      <c r="K155" s="346"/>
      <c r="L155" s="661"/>
      <c r="M155" s="662"/>
      <c r="N155" s="662"/>
      <c r="O155" s="663"/>
      <c r="P155" s="346"/>
      <c r="Q155" s="346"/>
      <c r="R155" s="678"/>
      <c r="S155" s="678"/>
      <c r="T155" s="346"/>
      <c r="U155" s="423"/>
      <c r="V155" s="405"/>
      <c r="W155" s="345"/>
    </row>
    <row r="156" spans="1:24" x14ac:dyDescent="0.2">
      <c r="A156" s="345"/>
      <c r="B156" s="345"/>
      <c r="C156" s="345"/>
      <c r="D156" s="345"/>
      <c r="E156" s="345"/>
      <c r="F156" s="345"/>
      <c r="G156" s="345"/>
      <c r="H156" s="345"/>
      <c r="I156" s="346"/>
      <c r="J156" s="346"/>
      <c r="K156" s="346"/>
      <c r="L156" s="664"/>
      <c r="M156" s="664"/>
      <c r="N156" s="664"/>
      <c r="O156" s="664"/>
      <c r="P156" s="346"/>
      <c r="Q156" s="346"/>
      <c r="R156" s="678"/>
      <c r="S156" s="678"/>
      <c r="T156" s="346"/>
      <c r="U156" s="423"/>
      <c r="V156" s="405"/>
      <c r="W156" s="345"/>
    </row>
    <row r="157" spans="1:24" x14ac:dyDescent="0.2">
      <c r="A157" s="345"/>
      <c r="L157" s="665"/>
      <c r="M157" s="666"/>
      <c r="N157" s="665"/>
      <c r="O157" s="665"/>
      <c r="P157" s="3"/>
      <c r="Q157" s="3"/>
      <c r="R157" s="3"/>
      <c r="S157" s="3"/>
      <c r="T157" s="3"/>
      <c r="U157" s="3"/>
      <c r="V157" s="3"/>
    </row>
    <row r="161" spans="13:20" x14ac:dyDescent="0.2">
      <c r="M161" s="3"/>
      <c r="N161" s="3"/>
      <c r="O161" s="3"/>
      <c r="P161" s="3"/>
      <c r="Q161" s="3"/>
      <c r="R161" s="3"/>
      <c r="S161" s="3"/>
      <c r="T161" s="3"/>
    </row>
    <row r="162" spans="13:20" x14ac:dyDescent="0.2">
      <c r="M162" s="3"/>
      <c r="N162" s="1307"/>
      <c r="O162" s="1308"/>
      <c r="P162" s="1308"/>
      <c r="Q162" s="1308"/>
      <c r="R162" s="1308"/>
      <c r="S162" s="1308"/>
      <c r="T162" s="3"/>
    </row>
    <row r="163" spans="13:20" x14ac:dyDescent="0.2">
      <c r="M163" s="3"/>
      <c r="N163" s="1294"/>
      <c r="O163" s="1293"/>
      <c r="P163" s="1293"/>
      <c r="Q163" s="1293"/>
      <c r="R163" s="1293"/>
      <c r="S163" s="1293"/>
      <c r="T163" s="3"/>
    </row>
  </sheetData>
  <mergeCells count="63">
    <mergeCell ref="D152:F152"/>
    <mergeCell ref="M152:N152"/>
    <mergeCell ref="E105:J105"/>
    <mergeCell ref="L105:N105"/>
    <mergeCell ref="A106:A107"/>
    <mergeCell ref="G152:L152"/>
    <mergeCell ref="X106:X107"/>
    <mergeCell ref="E107:F107"/>
    <mergeCell ref="V107:W107"/>
    <mergeCell ref="B151:F151"/>
    <mergeCell ref="M151:N151"/>
    <mergeCell ref="S151:W151"/>
    <mergeCell ref="G151:L151"/>
    <mergeCell ref="V106:W106"/>
    <mergeCell ref="S2:U2"/>
    <mergeCell ref="O2:R2"/>
    <mergeCell ref="AA18:AB18"/>
    <mergeCell ref="Q3:R3"/>
    <mergeCell ref="K36:O36"/>
    <mergeCell ref="L2:N2"/>
    <mergeCell ref="G35:L35"/>
    <mergeCell ref="G34:L34"/>
    <mergeCell ref="A1:N1"/>
    <mergeCell ref="E2:J2"/>
    <mergeCell ref="G3:G4"/>
    <mergeCell ref="E4:F4"/>
    <mergeCell ref="I3:J3"/>
    <mergeCell ref="M3:N3"/>
    <mergeCell ref="A3:A4"/>
    <mergeCell ref="B35:E35"/>
    <mergeCell ref="O104:S104"/>
    <mergeCell ref="B34:F34"/>
    <mergeCell ref="AK3:AL3"/>
    <mergeCell ref="AK4:AL4"/>
    <mergeCell ref="V3:W3"/>
    <mergeCell ref="V4:W4"/>
    <mergeCell ref="X3:X4"/>
    <mergeCell ref="O3:P3"/>
    <mergeCell ref="S3:U3"/>
    <mergeCell ref="M35:N35"/>
    <mergeCell ref="M34:N34"/>
    <mergeCell ref="S34:W34"/>
    <mergeCell ref="U35:W35"/>
    <mergeCell ref="U36:W36"/>
    <mergeCell ref="A104:N104"/>
    <mergeCell ref="B83:E83"/>
    <mergeCell ref="B82:E82"/>
    <mergeCell ref="B89:E89"/>
    <mergeCell ref="B90:E90"/>
    <mergeCell ref="O105:R105"/>
    <mergeCell ref="A105:C105"/>
    <mergeCell ref="I154:K154"/>
    <mergeCell ref="S105:U105"/>
    <mergeCell ref="G106:G107"/>
    <mergeCell ref="I106:J106"/>
    <mergeCell ref="M106:N106"/>
    <mergeCell ref="O106:P106"/>
    <mergeCell ref="Q106:R106"/>
    <mergeCell ref="S106:U106"/>
    <mergeCell ref="U152:W152"/>
    <mergeCell ref="L153:O153"/>
    <mergeCell ref="Q153:S153"/>
    <mergeCell ref="U153:V153"/>
  </mergeCells>
  <phoneticPr fontId="20" type="noConversion"/>
  <pageMargins left="0.78740157499999996" right="0.78740157499999996" top="0.984251969" bottom="0.984251969" header="0.4921259845" footer="0.4921259845"/>
  <pageSetup paperSize="9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N171"/>
  <sheetViews>
    <sheetView topLeftCell="A115" zoomScaleNormal="100" workbookViewId="0">
      <selection activeCell="AD81" sqref="AD81"/>
    </sheetView>
  </sheetViews>
  <sheetFormatPr baseColWidth="10" defaultRowHeight="12.75" x14ac:dyDescent="0.2"/>
  <cols>
    <col min="1" max="1" width="8.42578125" customWidth="1"/>
    <col min="2" max="2" width="6.5703125" customWidth="1"/>
    <col min="3" max="3" width="7.140625" customWidth="1"/>
    <col min="4" max="4" width="7.85546875" customWidth="1"/>
    <col min="5" max="6" width="6.85546875" customWidth="1"/>
    <col min="7" max="7" width="8.140625" customWidth="1"/>
    <col min="8" max="8" width="6.85546875" customWidth="1"/>
    <col min="9" max="9" width="6.5703125" customWidth="1"/>
    <col min="10" max="13" width="6.140625" customWidth="1"/>
    <col min="14" max="14" width="9.28515625" customWidth="1"/>
    <col min="15" max="15" width="7.28515625" customWidth="1"/>
    <col min="16" max="16" width="5.5703125" customWidth="1"/>
    <col min="17" max="17" width="4" customWidth="1"/>
    <col min="18" max="18" width="8.5703125" customWidth="1"/>
    <col min="19" max="19" width="7.7109375" customWidth="1"/>
    <col min="20" max="21" width="6.5703125" customWidth="1"/>
    <col min="22" max="22" width="9.85546875" customWidth="1"/>
    <col min="23" max="24" width="6.5703125" customWidth="1"/>
    <col min="25" max="25" width="5.5703125" customWidth="1"/>
    <col min="26" max="39" width="4.5703125" customWidth="1"/>
    <col min="40" max="41" width="9.28515625" customWidth="1"/>
  </cols>
  <sheetData>
    <row r="1" spans="1:40" ht="15.75" x14ac:dyDescent="0.25">
      <c r="A1" s="59"/>
      <c r="B1" s="1439" t="s">
        <v>144</v>
      </c>
      <c r="C1" s="1440"/>
      <c r="D1" s="1440"/>
      <c r="E1" s="1440"/>
      <c r="F1" s="1440"/>
      <c r="G1" s="1440"/>
      <c r="H1" s="1440"/>
      <c r="I1" s="1440"/>
      <c r="J1" s="1440"/>
      <c r="K1" s="1440"/>
      <c r="L1" s="1440"/>
      <c r="M1" s="1440"/>
      <c r="N1" s="1440"/>
      <c r="O1" s="1440"/>
      <c r="P1" s="170"/>
      <c r="Q1" s="374"/>
    </row>
    <row r="2" spans="1:40" ht="16.5" thickBot="1" x14ac:dyDescent="0.3">
      <c r="B2" s="258"/>
      <c r="C2" s="258"/>
      <c r="D2" s="258"/>
      <c r="E2" s="258"/>
      <c r="F2" s="258"/>
      <c r="G2" s="1"/>
      <c r="H2" s="1"/>
      <c r="I2" s="1"/>
      <c r="J2" s="1"/>
      <c r="K2" s="2"/>
      <c r="L2" s="2"/>
      <c r="M2" s="2"/>
      <c r="N2" s="2"/>
      <c r="O2" s="2"/>
      <c r="P2" s="2"/>
      <c r="Q2" s="2"/>
      <c r="R2" s="4"/>
      <c r="T2" s="6"/>
    </row>
    <row r="3" spans="1:40" ht="13.5" thickBot="1" x14ac:dyDescent="0.25">
      <c r="A3" s="794" t="s">
        <v>37</v>
      </c>
      <c r="B3" s="795" t="s">
        <v>5</v>
      </c>
      <c r="C3" s="1445" t="s">
        <v>58</v>
      </c>
      <c r="D3" s="1446"/>
      <c r="E3" s="1446"/>
      <c r="F3" s="1446"/>
      <c r="G3" s="1447"/>
      <c r="H3" s="796" t="s">
        <v>26</v>
      </c>
      <c r="I3" s="1445" t="s">
        <v>59</v>
      </c>
      <c r="J3" s="1446"/>
      <c r="K3" s="1446"/>
      <c r="L3" s="1445" t="s">
        <v>50</v>
      </c>
      <c r="M3" s="1447"/>
      <c r="N3" s="797" t="s">
        <v>149</v>
      </c>
      <c r="O3" s="1009" t="s">
        <v>117</v>
      </c>
      <c r="P3" s="1011" t="s">
        <v>103</v>
      </c>
      <c r="Q3" s="360"/>
    </row>
    <row r="4" spans="1:40" ht="15.75" x14ac:dyDescent="0.3">
      <c r="A4" s="798" t="s">
        <v>38</v>
      </c>
      <c r="B4" s="799" t="s">
        <v>65</v>
      </c>
      <c r="C4" s="800" t="s">
        <v>67</v>
      </c>
      <c r="D4" s="801" t="s">
        <v>129</v>
      </c>
      <c r="E4" s="1441" t="s">
        <v>69</v>
      </c>
      <c r="F4" s="1442"/>
      <c r="G4" s="802" t="s">
        <v>44</v>
      </c>
      <c r="H4" s="803" t="s">
        <v>53</v>
      </c>
      <c r="I4" s="804" t="s">
        <v>52</v>
      </c>
      <c r="J4" s="805" t="s">
        <v>54</v>
      </c>
      <c r="K4" s="806" t="s">
        <v>55</v>
      </c>
      <c r="L4" s="1443" t="s">
        <v>51</v>
      </c>
      <c r="M4" s="1444"/>
      <c r="N4" s="870" t="s">
        <v>150</v>
      </c>
      <c r="O4" s="989" t="s">
        <v>116</v>
      </c>
      <c r="P4" s="822" t="s">
        <v>104</v>
      </c>
      <c r="Q4" s="1428" t="s">
        <v>136</v>
      </c>
      <c r="R4" s="1429"/>
      <c r="S4" s="1429"/>
      <c r="T4" s="1429"/>
      <c r="U4" s="1429"/>
      <c r="V4" s="1429"/>
      <c r="W4" s="1429"/>
      <c r="X4" s="1429"/>
      <c r="Y4" s="1429"/>
      <c r="Z4" s="1429"/>
      <c r="AA4" s="1429"/>
      <c r="AB4" s="1429"/>
      <c r="AC4" s="1429"/>
      <c r="AD4" s="1429"/>
      <c r="AE4" s="1429"/>
      <c r="AF4" s="1429"/>
      <c r="AG4" s="1429"/>
      <c r="AH4" s="1429"/>
      <c r="AI4" s="1429"/>
      <c r="AJ4" s="1429"/>
      <c r="AK4" s="1429"/>
      <c r="AL4" s="1429"/>
      <c r="AM4" s="1430"/>
      <c r="AN4" s="691" t="s">
        <v>114</v>
      </c>
    </row>
    <row r="5" spans="1:40" ht="15" x14ac:dyDescent="0.3">
      <c r="A5" s="798" t="s">
        <v>39</v>
      </c>
      <c r="B5" s="807" t="s">
        <v>66</v>
      </c>
      <c r="C5" s="808" t="s">
        <v>40</v>
      </c>
      <c r="D5" s="791" t="s">
        <v>40</v>
      </c>
      <c r="E5" s="809" t="s">
        <v>41</v>
      </c>
      <c r="F5" s="810" t="s">
        <v>43</v>
      </c>
      <c r="G5" s="792" t="s">
        <v>45</v>
      </c>
      <c r="H5" s="811" t="s">
        <v>9</v>
      </c>
      <c r="I5" s="811" t="s">
        <v>9</v>
      </c>
      <c r="J5" s="1464" t="s">
        <v>47</v>
      </c>
      <c r="K5" s="1465"/>
      <c r="L5" s="812" t="s">
        <v>56</v>
      </c>
      <c r="M5" s="802" t="s">
        <v>57</v>
      </c>
      <c r="N5" s="871" t="s">
        <v>151</v>
      </c>
      <c r="O5" s="793" t="s">
        <v>19</v>
      </c>
      <c r="P5" s="1012" t="s">
        <v>169</v>
      </c>
      <c r="Q5" s="988" t="s">
        <v>0</v>
      </c>
      <c r="R5" s="835" t="s">
        <v>74</v>
      </c>
      <c r="S5" s="700" t="s">
        <v>75</v>
      </c>
      <c r="T5" s="1433" t="s">
        <v>72</v>
      </c>
      <c r="U5" s="1434"/>
      <c r="V5" s="845" t="s">
        <v>76</v>
      </c>
      <c r="W5" s="1435" t="s">
        <v>73</v>
      </c>
      <c r="X5" s="1436"/>
      <c r="Y5" s="701"/>
      <c r="Z5" s="702"/>
      <c r="AA5" s="702"/>
      <c r="AB5" s="1437" t="s">
        <v>134</v>
      </c>
      <c r="AC5" s="1438"/>
      <c r="AD5" s="1438"/>
      <c r="AE5" s="1438"/>
      <c r="AF5" s="1438"/>
      <c r="AG5" s="702"/>
      <c r="AH5" s="702"/>
      <c r="AI5" s="702"/>
      <c r="AJ5" s="702"/>
      <c r="AK5" s="703"/>
      <c r="AL5" s="1431" t="s">
        <v>135</v>
      </c>
      <c r="AM5" s="1432"/>
      <c r="AN5" s="698" t="s">
        <v>23</v>
      </c>
    </row>
    <row r="6" spans="1:40" ht="13.5" thickBot="1" x14ac:dyDescent="0.25">
      <c r="A6" s="813" t="s">
        <v>122</v>
      </c>
      <c r="B6" s="814"/>
      <c r="C6" s="815" t="s">
        <v>9</v>
      </c>
      <c r="D6" s="816" t="s">
        <v>9</v>
      </c>
      <c r="E6" s="817" t="s">
        <v>42</v>
      </c>
      <c r="F6" s="817" t="s">
        <v>42</v>
      </c>
      <c r="G6" s="818" t="s">
        <v>121</v>
      </c>
      <c r="H6" s="816"/>
      <c r="I6" s="819"/>
      <c r="J6" s="820"/>
      <c r="K6" s="821"/>
      <c r="L6" s="1450" t="s">
        <v>46</v>
      </c>
      <c r="M6" s="1451"/>
      <c r="N6" s="869" t="s">
        <v>34</v>
      </c>
      <c r="O6" s="820" t="s">
        <v>35</v>
      </c>
      <c r="P6" s="1013" t="s">
        <v>170</v>
      </c>
      <c r="Q6" s="1010" t="s">
        <v>6</v>
      </c>
      <c r="R6" s="836"/>
      <c r="S6" s="705"/>
      <c r="T6" s="844" t="s">
        <v>10</v>
      </c>
      <c r="U6" s="839" t="s">
        <v>11</v>
      </c>
      <c r="V6" s="705" t="s">
        <v>77</v>
      </c>
      <c r="W6" s="836" t="s">
        <v>10</v>
      </c>
      <c r="X6" s="706" t="s">
        <v>11</v>
      </c>
      <c r="Y6" s="707" t="s">
        <v>79</v>
      </c>
      <c r="Z6" s="708" t="s">
        <v>10</v>
      </c>
      <c r="AA6" s="708" t="s">
        <v>11</v>
      </c>
      <c r="AB6" s="708" t="s">
        <v>10</v>
      </c>
      <c r="AC6" s="708" t="s">
        <v>11</v>
      </c>
      <c r="AD6" s="708" t="s">
        <v>10</v>
      </c>
      <c r="AE6" s="708" t="s">
        <v>11</v>
      </c>
      <c r="AF6" s="708" t="s">
        <v>10</v>
      </c>
      <c r="AG6" s="708" t="s">
        <v>11</v>
      </c>
      <c r="AH6" s="708" t="s">
        <v>10</v>
      </c>
      <c r="AI6" s="708" t="s">
        <v>11</v>
      </c>
      <c r="AJ6" s="708" t="s">
        <v>10</v>
      </c>
      <c r="AK6" s="709" t="s">
        <v>11</v>
      </c>
      <c r="AL6" s="707" t="s">
        <v>10</v>
      </c>
      <c r="AM6" s="709" t="s">
        <v>11</v>
      </c>
      <c r="AN6" s="534" t="s">
        <v>171</v>
      </c>
    </row>
    <row r="7" spans="1:40" x14ac:dyDescent="0.2">
      <c r="A7" s="39">
        <v>39458</v>
      </c>
      <c r="B7" s="46">
        <v>11</v>
      </c>
      <c r="C7" s="12">
        <v>319.76</v>
      </c>
      <c r="D7" s="172">
        <v>-0.75</v>
      </c>
      <c r="E7" s="82">
        <f>C7-D7/(D8-D7)*(C8-C7)</f>
        <v>328.04151260504199</v>
      </c>
      <c r="F7" s="82"/>
      <c r="G7" s="34">
        <v>5.16</v>
      </c>
      <c r="H7" s="200">
        <v>290.12</v>
      </c>
      <c r="I7" s="209">
        <f>H7-180</f>
        <v>110.12</v>
      </c>
      <c r="J7" s="210">
        <f>COS((I7*PI()/180))</f>
        <v>-0.34398747937572555</v>
      </c>
      <c r="K7" s="564">
        <f>SIN((I7*PI()/180))</f>
        <v>0.93897423502071387</v>
      </c>
      <c r="L7" s="353">
        <f>J7+0.2*COS(RADIANS(E7))</f>
        <v>-0.17430111601449333</v>
      </c>
      <c r="M7" s="383">
        <f>K7+0.2*SIN(RADIANS(E7))</f>
        <v>0.83311329751664731</v>
      </c>
      <c r="N7" s="50">
        <f>B7+(E7-C7)/(C8-C7)</f>
        <v>11.630252100840336</v>
      </c>
      <c r="O7" s="520"/>
      <c r="P7" s="692"/>
      <c r="Q7" s="710">
        <f>B7</f>
        <v>11</v>
      </c>
      <c r="R7" s="837">
        <f>COS(RADIANS(E7))</f>
        <v>0.84843181680616109</v>
      </c>
      <c r="S7" s="711">
        <f>SIN(RADIANS(E7))</f>
        <v>-0.52930468752033244</v>
      </c>
      <c r="T7" s="837">
        <f>90-V7*R7</f>
        <v>85.622091825280208</v>
      </c>
      <c r="U7" s="840">
        <f>90+V7*S7</f>
        <v>87.26878781239509</v>
      </c>
      <c r="V7" s="712">
        <f>G7</f>
        <v>5.16</v>
      </c>
      <c r="W7" s="837">
        <f>90-5.13*R7</f>
        <v>85.647544779784397</v>
      </c>
      <c r="X7" s="713">
        <f>90+5.13*S7</f>
        <v>87.28466695302069</v>
      </c>
      <c r="Y7" s="714">
        <f>Y8-0.15</f>
        <v>-0.44999999999999996</v>
      </c>
      <c r="Z7" s="729">
        <f>90-COS(Y7)</f>
        <v>89.099552897647328</v>
      </c>
      <c r="AA7" s="726">
        <f>90-SIN(Y7)</f>
        <v>90.434965534111228</v>
      </c>
      <c r="AB7" s="715">
        <f>90-2*COS(Y7)</f>
        <v>88.199105795294642</v>
      </c>
      <c r="AC7" s="715">
        <f>90-2*SIN(Y7)</f>
        <v>90.869931068222456</v>
      </c>
      <c r="AD7" s="729">
        <f>90-3*COS(Y7)</f>
        <v>87.29865869294197</v>
      </c>
      <c r="AE7" s="726">
        <f>90-3*SIN(Y7)</f>
        <v>91.304896602333685</v>
      </c>
      <c r="AF7" s="715">
        <f>90-4*COS(Y7)</f>
        <v>86.398211590589298</v>
      </c>
      <c r="AG7" s="715">
        <f>90-4*SIN(Y7)</f>
        <v>91.739862136444927</v>
      </c>
      <c r="AH7" s="729">
        <f>90-5*COS(Y7)</f>
        <v>85.497764488236612</v>
      </c>
      <c r="AI7" s="725">
        <f>90-5*SIN(Y7)</f>
        <v>92.174827670556155</v>
      </c>
      <c r="AJ7" s="729">
        <f>90-6*COS( Y7)</f>
        <v>84.59731738588394</v>
      </c>
      <c r="AK7" s="716">
        <f>90-6*SIN(Y7)</f>
        <v>92.609793204667383</v>
      </c>
      <c r="AL7" s="717">
        <f>90-5.13*COS(Y7)</f>
        <v>85.380706364930774</v>
      </c>
      <c r="AM7" s="716">
        <f>90-5.13*SIN(Y7)</f>
        <v>92.231373189990606</v>
      </c>
      <c r="AN7" s="197">
        <f>(G7-4.95)*0.3</f>
        <v>6.2999999999999987E-2</v>
      </c>
    </row>
    <row r="8" spans="1:40" x14ac:dyDescent="0.2">
      <c r="A8" s="41">
        <f>A7+1</f>
        <v>39459</v>
      </c>
      <c r="B8" s="42">
        <f>B7+A8-A7</f>
        <v>12</v>
      </c>
      <c r="C8" s="22">
        <v>332.9</v>
      </c>
      <c r="D8" s="33">
        <v>0.44</v>
      </c>
      <c r="E8" s="17"/>
      <c r="F8" s="17"/>
      <c r="G8" s="135"/>
      <c r="H8" s="16"/>
      <c r="I8" s="22"/>
      <c r="J8" s="123">
        <f>J7</f>
        <v>-0.34398747937572555</v>
      </c>
      <c r="K8" s="284">
        <f>K7</f>
        <v>0.93897423502071387</v>
      </c>
      <c r="L8" s="353">
        <f>J7</f>
        <v>-0.34398747937572555</v>
      </c>
      <c r="M8" s="383">
        <f>K7</f>
        <v>0.93897423502071387</v>
      </c>
      <c r="N8" s="25"/>
      <c r="O8" s="521"/>
      <c r="P8" s="693"/>
      <c r="Q8" s="710">
        <f>Q7+27</f>
        <v>38</v>
      </c>
      <c r="R8" s="837">
        <f>COS(RADIANS(E11))</f>
        <v>0.84524195711219419</v>
      </c>
      <c r="S8" s="711">
        <f>SIN(RADIANS(E11))</f>
        <v>-0.53438378899172057</v>
      </c>
      <c r="T8" s="837">
        <f t="shared" ref="T8:T20" si="0">90-V8*R8</f>
        <v>85.54134867623317</v>
      </c>
      <c r="U8" s="840">
        <f t="shared" ref="U8:U20" si="1">90+V8*S8</f>
        <v>87.181125513068679</v>
      </c>
      <c r="V8" s="712">
        <f>G11</f>
        <v>5.2750000000000004</v>
      </c>
      <c r="W8" s="837">
        <f t="shared" ref="W8:W20" si="2">90-5.13*R8</f>
        <v>85.663908760014436</v>
      </c>
      <c r="X8" s="713">
        <f t="shared" ref="X8:X20" si="3">90+5.13*S8</f>
        <v>87.258611162472477</v>
      </c>
      <c r="Y8" s="714">
        <f>Y9-0.15</f>
        <v>-0.3</v>
      </c>
      <c r="Z8" s="730">
        <f>90-COS(Y8)</f>
        <v>89.0446635108744</v>
      </c>
      <c r="AA8" s="727">
        <f>90-SIN(Y8)</f>
        <v>90.295520206661337</v>
      </c>
      <c r="AB8" s="715">
        <f>90-2*COS(Y8)</f>
        <v>88.089327021748787</v>
      </c>
      <c r="AC8" s="715">
        <f>90-2*SIN(Y8)</f>
        <v>90.591040413322673</v>
      </c>
      <c r="AD8" s="730">
        <f>90-3*COS(Y8)</f>
        <v>87.133990532623187</v>
      </c>
      <c r="AE8" s="727">
        <f>90-3*SIN(Y8)</f>
        <v>90.886560619984024</v>
      </c>
      <c r="AF8" s="715">
        <f>90-4*COS(Y8)</f>
        <v>86.178654043497573</v>
      </c>
      <c r="AG8" s="715">
        <f>90-4*SIN(Y8)</f>
        <v>91.182080826645361</v>
      </c>
      <c r="AH8" s="730">
        <f>90-5*COS(Y8)</f>
        <v>85.223317554371974</v>
      </c>
      <c r="AI8" s="715">
        <f>90-5*SIN(Y8)</f>
        <v>91.477601033306698</v>
      </c>
      <c r="AJ8" s="730">
        <f>90-6*COS( Y8)</f>
        <v>84.26798106524636</v>
      </c>
      <c r="AK8" s="716">
        <f>90-6*SIN(Y8)</f>
        <v>91.773121239968035</v>
      </c>
      <c r="AL8" s="717">
        <f>90-5.13*COS(Y8)</f>
        <v>85.099123810785642</v>
      </c>
      <c r="AM8" s="716">
        <f>90-5.13*SIN(Y8)</f>
        <v>91.516018660172676</v>
      </c>
      <c r="AN8" s="197"/>
    </row>
    <row r="9" spans="1:40" x14ac:dyDescent="0.2">
      <c r="A9" s="43">
        <v>39471</v>
      </c>
      <c r="B9" s="40">
        <f t="shared" ref="B9:B60" si="4">B8+A9-A8</f>
        <v>24</v>
      </c>
      <c r="C9" s="23">
        <v>141.71</v>
      </c>
      <c r="D9" s="69">
        <v>0.56000000000000005</v>
      </c>
      <c r="E9" s="132"/>
      <c r="F9" s="18">
        <f>C9+D9/(-D10+D9)*(C10-C9)</f>
        <v>147.79715447154473</v>
      </c>
      <c r="G9" s="34">
        <v>5.23</v>
      </c>
      <c r="H9" s="201">
        <v>303.36</v>
      </c>
      <c r="I9" s="23">
        <f>H9-180</f>
        <v>123.36000000000001</v>
      </c>
      <c r="J9" s="124">
        <f>COS((I9*PI()/180))</f>
        <v>-0.54989777222483982</v>
      </c>
      <c r="K9" s="151">
        <f>SIN((I9*PI()/180))</f>
        <v>0.83523196784016718</v>
      </c>
      <c r="L9" s="566"/>
      <c r="M9" s="380"/>
      <c r="N9" s="50">
        <f>B9+(F9-C9)/(C10-C9)</f>
        <v>24.45528455284553</v>
      </c>
      <c r="O9" s="522"/>
      <c r="P9" s="694"/>
      <c r="Q9" s="710">
        <f>66</f>
        <v>66</v>
      </c>
      <c r="R9" s="837">
        <f>COS(RADIANS(E15))</f>
        <v>0.84601827220260351</v>
      </c>
      <c r="S9" s="711">
        <f>SIN(RADIANS(E15))</f>
        <v>-0.53315390188886502</v>
      </c>
      <c r="T9" s="837">
        <f t="shared" si="0"/>
        <v>85.566864253658352</v>
      </c>
      <c r="U9" s="840">
        <f t="shared" si="1"/>
        <v>87.206273554102353</v>
      </c>
      <c r="V9" s="712">
        <f>G15</f>
        <v>5.24</v>
      </c>
      <c r="W9" s="837">
        <f t="shared" si="2"/>
        <v>85.659926263600639</v>
      </c>
      <c r="X9" s="713">
        <f t="shared" si="3"/>
        <v>87.264920483310121</v>
      </c>
      <c r="Y9" s="714">
        <f>Y10-0.15</f>
        <v>-0.15</v>
      </c>
      <c r="Z9" s="730">
        <f>90-COS(Y9)</f>
        <v>89.011228922063964</v>
      </c>
      <c r="AA9" s="727">
        <f>90-SIN(Y9)</f>
        <v>90.149438132473605</v>
      </c>
      <c r="AB9" s="715">
        <f>90-2*COS(Y9)</f>
        <v>88.022457844127914</v>
      </c>
      <c r="AC9" s="715">
        <f>90-2*SIN(Y9)</f>
        <v>90.298876264947197</v>
      </c>
      <c r="AD9" s="730">
        <f>90-3*COS(Y9)</f>
        <v>87.033686766191877</v>
      </c>
      <c r="AE9" s="727">
        <f>90-3*SIN(Y9)</f>
        <v>90.448314397420802</v>
      </c>
      <c r="AF9" s="715">
        <f>90-4*COS(Y9)</f>
        <v>86.044915688255827</v>
      </c>
      <c r="AG9" s="715">
        <f>90-4*SIN(Y9)</f>
        <v>90.597752529894393</v>
      </c>
      <c r="AH9" s="730">
        <f>90-5*COS(Y9)</f>
        <v>85.056144610319791</v>
      </c>
      <c r="AI9" s="715">
        <f>90-5*SIN(Y9)</f>
        <v>90.747190662367998</v>
      </c>
      <c r="AJ9" s="730">
        <f>90-6*COS( Y9)</f>
        <v>84.067373532383741</v>
      </c>
      <c r="AK9" s="716">
        <f>90-6*SIN(Y9)</f>
        <v>90.89662879484159</v>
      </c>
      <c r="AL9" s="717">
        <f>90-5.13*COS(Y9)</f>
        <v>84.927604370188106</v>
      </c>
      <c r="AM9" s="716">
        <f>90-5.13*SIN(Y9)</f>
        <v>90.766617619589567</v>
      </c>
      <c r="AN9" s="197">
        <f>(G9-4.95)*0.3</f>
        <v>8.4000000000000075E-2</v>
      </c>
    </row>
    <row r="10" spans="1:40" x14ac:dyDescent="0.2">
      <c r="A10" s="41">
        <f>A9+1</f>
        <v>39472</v>
      </c>
      <c r="B10" s="42">
        <f t="shared" si="4"/>
        <v>25</v>
      </c>
      <c r="C10" s="22">
        <v>155.08000000000001</v>
      </c>
      <c r="D10" s="33">
        <v>-0.67</v>
      </c>
      <c r="E10" s="133"/>
      <c r="F10" s="120"/>
      <c r="G10" s="135"/>
      <c r="H10" s="16"/>
      <c r="I10" s="22"/>
      <c r="J10" s="123">
        <f>J9</f>
        <v>-0.54989777222483982</v>
      </c>
      <c r="K10" s="284">
        <f>K9</f>
        <v>0.83523196784016718</v>
      </c>
      <c r="L10" s="567"/>
      <c r="M10" s="490"/>
      <c r="N10" s="25"/>
      <c r="O10" s="523"/>
      <c r="P10" s="695"/>
      <c r="Q10" s="710">
        <v>93</v>
      </c>
      <c r="R10" s="837">
        <f>COS(RADIANS(E19))</f>
        <v>0.83716865542432695</v>
      </c>
      <c r="S10" s="711">
        <f>SIN(RADIANS(E19))</f>
        <v>-0.54694482571373182</v>
      </c>
      <c r="T10" s="837">
        <f t="shared" si="0"/>
        <v>85.713696484227441</v>
      </c>
      <c r="U10" s="840">
        <f t="shared" si="1"/>
        <v>87.199642492345689</v>
      </c>
      <c r="V10" s="712">
        <f>G19</f>
        <v>5.12</v>
      </c>
      <c r="W10" s="837">
        <f t="shared" si="2"/>
        <v>85.7053247976732</v>
      </c>
      <c r="X10" s="713">
        <f t="shared" si="3"/>
        <v>87.194173044088558</v>
      </c>
      <c r="Y10" s="714">
        <v>0</v>
      </c>
      <c r="Z10" s="730">
        <f>90-COS(Y10)</f>
        <v>89</v>
      </c>
      <c r="AA10" s="727">
        <f>90-SIN(Y10)</f>
        <v>90</v>
      </c>
      <c r="AB10" s="715">
        <f>90-2*COS(Y10)</f>
        <v>88</v>
      </c>
      <c r="AC10" s="715">
        <f>90-2*SIN(Y10)</f>
        <v>90</v>
      </c>
      <c r="AD10" s="730">
        <f>90-3*COS(Y10)</f>
        <v>87</v>
      </c>
      <c r="AE10" s="727">
        <f>90-3*SIN(Y10)</f>
        <v>90</v>
      </c>
      <c r="AF10" s="715">
        <f>90-4*COS(Y10)</f>
        <v>86</v>
      </c>
      <c r="AG10" s="715">
        <f>90-4*SIN(Y10)</f>
        <v>90</v>
      </c>
      <c r="AH10" s="730">
        <f>90-5*COS(Y10)</f>
        <v>85</v>
      </c>
      <c r="AI10" s="715">
        <f>90-5*SIN(Y10)</f>
        <v>90</v>
      </c>
      <c r="AJ10" s="730">
        <f t="shared" ref="AJ10:AJ20" si="5">90-6*COS( Y10)</f>
        <v>84</v>
      </c>
      <c r="AK10" s="716">
        <f t="shared" ref="AK10:AK20" si="6">90-6*SIN(Y10)</f>
        <v>90</v>
      </c>
      <c r="AL10" s="717">
        <f t="shared" ref="AL10:AL20" si="7">90-5.13*COS(Y10)</f>
        <v>84.87</v>
      </c>
      <c r="AM10" s="716">
        <f t="shared" ref="AM10:AM20" si="8">90-5.13*SIN(Y10)</f>
        <v>90</v>
      </c>
      <c r="AN10" s="197"/>
    </row>
    <row r="11" spans="1:40" x14ac:dyDescent="0.2">
      <c r="A11" s="181">
        <v>39485</v>
      </c>
      <c r="B11" s="182">
        <f t="shared" si="4"/>
        <v>38</v>
      </c>
      <c r="C11" s="270">
        <v>315.67</v>
      </c>
      <c r="D11" s="281">
        <v>-1.1000000000000001</v>
      </c>
      <c r="E11" s="164">
        <f>C11-D11/(D12-D11)*(C12-C11)</f>
        <v>327.69786885245901</v>
      </c>
      <c r="F11" s="164"/>
      <c r="G11" s="34">
        <v>5.2750000000000004</v>
      </c>
      <c r="H11" s="205">
        <v>317.57</v>
      </c>
      <c r="I11" s="183">
        <f>H11-180</f>
        <v>137.57</v>
      </c>
      <c r="J11" s="185">
        <f t="shared" ref="J11:J59" si="9">COS((I11*PI()/180))</f>
        <v>-0.73810217551163426</v>
      </c>
      <c r="K11" s="187">
        <f t="shared" ref="K11:K59" si="10">SIN((I11*PI()/180))</f>
        <v>0.67468894944633007</v>
      </c>
      <c r="L11" s="566">
        <f>J11+0.2*COS(RADIANS(E11))</f>
        <v>-0.56905378408919538</v>
      </c>
      <c r="M11" s="380">
        <f>K11+0.2*SIN(RADIANS(E11))</f>
        <v>0.56781219164798591</v>
      </c>
      <c r="N11" s="50">
        <f>B11+(E11-C11)/(C12-C11)</f>
        <v>38.901639344262293</v>
      </c>
      <c r="O11" s="388">
        <f>N11-N7</f>
        <v>27.271387243421955</v>
      </c>
      <c r="P11" s="696">
        <f>ABS(E7-E11)/(N11-N7)</f>
        <v>1.2600890065314395E-2</v>
      </c>
      <c r="Q11" s="710">
        <f t="shared" ref="Q11:Q20" si="11">Q10+27</f>
        <v>120</v>
      </c>
      <c r="R11" s="837">
        <f>COS(RADIANS(E23))</f>
        <v>0.81382212219732186</v>
      </c>
      <c r="S11" s="711">
        <f>SIN(RADIANS(E23))</f>
        <v>-0.58111406231672569</v>
      </c>
      <c r="T11" s="837">
        <f t="shared" si="0"/>
        <v>85.910543835958464</v>
      </c>
      <c r="U11" s="840">
        <f t="shared" si="1"/>
        <v>87.079901836858454</v>
      </c>
      <c r="V11" s="712">
        <f>G23</f>
        <v>5.0250000000000004</v>
      </c>
      <c r="W11" s="837">
        <f t="shared" si="2"/>
        <v>85.825092513127743</v>
      </c>
      <c r="X11" s="713">
        <f t="shared" si="3"/>
        <v>87.018884860315197</v>
      </c>
      <c r="Y11" s="714">
        <f>Y10+0.15</f>
        <v>0.15</v>
      </c>
      <c r="Z11" s="730">
        <f t="shared" ref="Z11:Z20" si="12">90-COS(Y11)</f>
        <v>89.011228922063964</v>
      </c>
      <c r="AA11" s="727">
        <f t="shared" ref="AA11:AA20" si="13">90-SIN(Y11)</f>
        <v>89.850561867526395</v>
      </c>
      <c r="AB11" s="715">
        <f t="shared" ref="AB11:AB20" si="14">90-2*COS(Y11)</f>
        <v>88.022457844127914</v>
      </c>
      <c r="AC11" s="715">
        <f t="shared" ref="AC11:AC20" si="15">90-2*SIN(Y11)</f>
        <v>89.701123735052803</v>
      </c>
      <c r="AD11" s="730">
        <f t="shared" ref="AD11:AD20" si="16">90-3*COS(Y11)</f>
        <v>87.033686766191877</v>
      </c>
      <c r="AE11" s="727">
        <f t="shared" ref="AE11:AE20" si="17">90-3*SIN(Y11)</f>
        <v>89.551685602579198</v>
      </c>
      <c r="AF11" s="715">
        <f t="shared" ref="AF11:AF20" si="18">90-4*COS(Y11)</f>
        <v>86.044915688255827</v>
      </c>
      <c r="AG11" s="715">
        <f t="shared" ref="AG11:AG20" si="19">90-4*SIN(Y11)</f>
        <v>89.402247470105607</v>
      </c>
      <c r="AH11" s="730">
        <f t="shared" ref="AH11:AH20" si="20">90-5*COS(Y11)</f>
        <v>85.056144610319791</v>
      </c>
      <c r="AI11" s="715">
        <f t="shared" ref="AI11:AI20" si="21">90-5*SIN(Y11)</f>
        <v>89.252809337632002</v>
      </c>
      <c r="AJ11" s="730">
        <f t="shared" si="5"/>
        <v>84.067373532383741</v>
      </c>
      <c r="AK11" s="716">
        <f t="shared" si="6"/>
        <v>89.10337120515841</v>
      </c>
      <c r="AL11" s="717">
        <f t="shared" si="7"/>
        <v>84.927604370188106</v>
      </c>
      <c r="AM11" s="716">
        <f t="shared" si="8"/>
        <v>89.233382380410433</v>
      </c>
      <c r="AN11" s="197">
        <f>(G11-4.95)*0.3</f>
        <v>9.7500000000000045E-2</v>
      </c>
    </row>
    <row r="12" spans="1:40" x14ac:dyDescent="0.2">
      <c r="A12" s="174">
        <v>39486</v>
      </c>
      <c r="B12" s="175">
        <f t="shared" si="4"/>
        <v>39</v>
      </c>
      <c r="C12" s="176">
        <v>329.01</v>
      </c>
      <c r="D12" s="168">
        <v>0.12</v>
      </c>
      <c r="E12" s="120"/>
      <c r="F12" s="1460" t="s">
        <v>115</v>
      </c>
      <c r="G12" s="1461"/>
      <c r="H12" s="204"/>
      <c r="I12" s="25"/>
      <c r="J12" s="123">
        <f>J11</f>
        <v>-0.73810217551163426</v>
      </c>
      <c r="K12" s="284">
        <f>K11</f>
        <v>0.67468894944633007</v>
      </c>
      <c r="L12" s="353">
        <f>J11</f>
        <v>-0.73810217551163426</v>
      </c>
      <c r="M12" s="383">
        <f>K11</f>
        <v>0.67468894944633007</v>
      </c>
      <c r="N12" s="376"/>
      <c r="O12" s="377"/>
      <c r="P12" s="697"/>
      <c r="Q12" s="710">
        <f t="shared" si="11"/>
        <v>147</v>
      </c>
      <c r="R12" s="837">
        <f>COS(RADIANS(E27))</f>
        <v>0.78284712761581643</v>
      </c>
      <c r="S12" s="711">
        <f>SIN(RADIANS(E27))</f>
        <v>-0.62221409079485301</v>
      </c>
      <c r="T12" s="837">
        <f t="shared" si="0"/>
        <v>86.097507068835156</v>
      </c>
      <c r="U12" s="840">
        <f t="shared" si="1"/>
        <v>86.898262757387656</v>
      </c>
      <c r="V12" s="712">
        <f>G27</f>
        <v>4.9850000000000003</v>
      </c>
      <c r="W12" s="837">
        <f t="shared" si="2"/>
        <v>85.983994235330869</v>
      </c>
      <c r="X12" s="713">
        <f t="shared" si="3"/>
        <v>86.808041714222398</v>
      </c>
      <c r="Y12" s="714">
        <f t="shared" ref="Y12:Y23" si="22">Y11+0.15</f>
        <v>0.3</v>
      </c>
      <c r="Z12" s="730">
        <f t="shared" si="12"/>
        <v>89.0446635108744</v>
      </c>
      <c r="AA12" s="727">
        <f t="shared" si="13"/>
        <v>89.704479793338663</v>
      </c>
      <c r="AB12" s="715">
        <f t="shared" si="14"/>
        <v>88.089327021748787</v>
      </c>
      <c r="AC12" s="715">
        <f t="shared" si="15"/>
        <v>89.408959586677327</v>
      </c>
      <c r="AD12" s="730">
        <f t="shared" si="16"/>
        <v>87.133990532623187</v>
      </c>
      <c r="AE12" s="727">
        <f t="shared" si="17"/>
        <v>89.113439380015976</v>
      </c>
      <c r="AF12" s="715">
        <f t="shared" si="18"/>
        <v>86.178654043497573</v>
      </c>
      <c r="AG12" s="715">
        <f t="shared" si="19"/>
        <v>88.817919173354639</v>
      </c>
      <c r="AH12" s="730">
        <f t="shared" si="20"/>
        <v>85.223317554371974</v>
      </c>
      <c r="AI12" s="715">
        <f t="shared" si="21"/>
        <v>88.522398966693302</v>
      </c>
      <c r="AJ12" s="730">
        <f t="shared" si="5"/>
        <v>84.26798106524636</v>
      </c>
      <c r="AK12" s="716">
        <f t="shared" si="6"/>
        <v>88.226878760031965</v>
      </c>
      <c r="AL12" s="717">
        <f t="shared" si="7"/>
        <v>85.099123810785642</v>
      </c>
      <c r="AM12" s="716">
        <f t="shared" si="8"/>
        <v>88.483981339827324</v>
      </c>
      <c r="AN12" s="197"/>
    </row>
    <row r="13" spans="1:40" x14ac:dyDescent="0.2">
      <c r="A13" s="181">
        <v>39498</v>
      </c>
      <c r="B13" s="182">
        <f t="shared" si="4"/>
        <v>51</v>
      </c>
      <c r="C13" s="183">
        <v>136.56</v>
      </c>
      <c r="D13" s="163">
        <v>1.03</v>
      </c>
      <c r="E13" s="378"/>
      <c r="F13" s="85">
        <f>C13+D13/(-D14+D13)*(C14-C13)</f>
        <v>147.76439024390243</v>
      </c>
      <c r="G13" s="389">
        <v>5.29</v>
      </c>
      <c r="H13" s="203">
        <v>330.72</v>
      </c>
      <c r="I13" s="127">
        <f>H13-180</f>
        <v>150.72000000000003</v>
      </c>
      <c r="J13" s="379">
        <f t="shared" si="9"/>
        <v>-0.87224004600084393</v>
      </c>
      <c r="K13" s="381">
        <f t="shared" si="10"/>
        <v>0.48907801233795573</v>
      </c>
      <c r="L13" s="566"/>
      <c r="M13" s="380"/>
      <c r="N13" s="50">
        <f>B13+(F13-C13)/(C14-C13)</f>
        <v>51.837398373983739</v>
      </c>
      <c r="O13" s="520"/>
      <c r="P13" s="356">
        <f>ABS(F9-F13)/(N13-N9)</f>
        <v>1.1965558194784224E-3</v>
      </c>
      <c r="Q13" s="710">
        <v>174</v>
      </c>
      <c r="R13" s="837">
        <f>COS(RADIANS(E31))</f>
        <v>0.75952216281408391</v>
      </c>
      <c r="S13" s="711">
        <f>SIN(RADIANS(E31))</f>
        <v>-0.65048142494172434</v>
      </c>
      <c r="T13" s="837">
        <f t="shared" si="0"/>
        <v>86.13782980209038</v>
      </c>
      <c r="U13" s="840">
        <f t="shared" si="1"/>
        <v>86.692301954171327</v>
      </c>
      <c r="V13" s="712">
        <f>G31</f>
        <v>5.085</v>
      </c>
      <c r="W13" s="837">
        <f t="shared" si="2"/>
        <v>86.103651304763744</v>
      </c>
      <c r="X13" s="713">
        <f t="shared" si="3"/>
        <v>86.663030290048951</v>
      </c>
      <c r="Y13" s="714">
        <f t="shared" si="22"/>
        <v>0.44999999999999996</v>
      </c>
      <c r="Z13" s="730">
        <f t="shared" si="12"/>
        <v>89.099552897647328</v>
      </c>
      <c r="AA13" s="727">
        <f t="shared" si="13"/>
        <v>89.565034465888772</v>
      </c>
      <c r="AB13" s="715">
        <f t="shared" si="14"/>
        <v>88.199105795294642</v>
      </c>
      <c r="AC13" s="715">
        <f t="shared" si="15"/>
        <v>89.130068931777544</v>
      </c>
      <c r="AD13" s="730">
        <f t="shared" si="16"/>
        <v>87.29865869294197</v>
      </c>
      <c r="AE13" s="727">
        <f t="shared" si="17"/>
        <v>88.695103397666315</v>
      </c>
      <c r="AF13" s="715">
        <f t="shared" si="18"/>
        <v>86.398211590589298</v>
      </c>
      <c r="AG13" s="715">
        <f t="shared" si="19"/>
        <v>88.260137863555073</v>
      </c>
      <c r="AH13" s="730">
        <f t="shared" si="20"/>
        <v>85.497764488236612</v>
      </c>
      <c r="AI13" s="715">
        <f t="shared" si="21"/>
        <v>87.825172329443845</v>
      </c>
      <c r="AJ13" s="730">
        <f t="shared" si="5"/>
        <v>84.59731738588394</v>
      </c>
      <c r="AK13" s="716">
        <f t="shared" si="6"/>
        <v>87.390206795332617</v>
      </c>
      <c r="AL13" s="717">
        <f t="shared" si="7"/>
        <v>85.380706364930774</v>
      </c>
      <c r="AM13" s="716">
        <f t="shared" si="8"/>
        <v>87.768626810009394</v>
      </c>
      <c r="AN13" s="197">
        <f>(G13-4.95)*0.3</f>
        <v>0.10199999999999995</v>
      </c>
    </row>
    <row r="14" spans="1:40" x14ac:dyDescent="0.2">
      <c r="A14" s="174">
        <f>A13+1</f>
        <v>39499</v>
      </c>
      <c r="B14" s="175">
        <f t="shared" si="4"/>
        <v>52</v>
      </c>
      <c r="C14" s="176">
        <v>149.94</v>
      </c>
      <c r="D14" s="168">
        <v>-0.2</v>
      </c>
      <c r="E14" s="375"/>
      <c r="F14" s="382"/>
      <c r="G14" s="558"/>
      <c r="H14" s="204"/>
      <c r="I14" s="25"/>
      <c r="J14" s="123">
        <f>J13</f>
        <v>-0.87224004600084393</v>
      </c>
      <c r="K14" s="284">
        <f>K13</f>
        <v>0.48907801233795573</v>
      </c>
      <c r="L14" s="567"/>
      <c r="M14" s="490"/>
      <c r="N14" s="25"/>
      <c r="O14" s="521"/>
      <c r="P14" s="356"/>
      <c r="Q14" s="710">
        <v>202</v>
      </c>
      <c r="R14" s="837">
        <f>COS(RADIANS(E35))</f>
        <v>0.75005733683146236</v>
      </c>
      <c r="S14" s="711">
        <f>SIN(RADIANS(E35))</f>
        <v>-0.66137280822943889</v>
      </c>
      <c r="T14" s="837">
        <f t="shared" si="0"/>
        <v>86.077200128371459</v>
      </c>
      <c r="U14" s="840">
        <f t="shared" si="1"/>
        <v>86.541020212960035</v>
      </c>
      <c r="V14" s="712">
        <f>G35</f>
        <v>5.23</v>
      </c>
      <c r="W14" s="837">
        <f t="shared" si="2"/>
        <v>86.152205862054601</v>
      </c>
      <c r="X14" s="713">
        <f t="shared" si="3"/>
        <v>86.607157493782978</v>
      </c>
      <c r="Y14" s="714">
        <f t="shared" si="22"/>
        <v>0.6</v>
      </c>
      <c r="Z14" s="730">
        <f t="shared" si="12"/>
        <v>89.174664385090324</v>
      </c>
      <c r="AA14" s="727">
        <f t="shared" si="13"/>
        <v>89.43535752660496</v>
      </c>
      <c r="AB14" s="715">
        <f t="shared" si="14"/>
        <v>88.349328770180648</v>
      </c>
      <c r="AC14" s="715">
        <f t="shared" si="15"/>
        <v>88.870715053209935</v>
      </c>
      <c r="AD14" s="730">
        <f t="shared" si="16"/>
        <v>87.523993155270972</v>
      </c>
      <c r="AE14" s="727">
        <f t="shared" si="17"/>
        <v>88.306072579814895</v>
      </c>
      <c r="AF14" s="715">
        <f t="shared" si="18"/>
        <v>86.698657540361282</v>
      </c>
      <c r="AG14" s="715">
        <f t="shared" si="19"/>
        <v>87.741430106419855</v>
      </c>
      <c r="AH14" s="730">
        <f t="shared" si="20"/>
        <v>85.873321925451606</v>
      </c>
      <c r="AI14" s="715">
        <f t="shared" si="21"/>
        <v>87.17678763302483</v>
      </c>
      <c r="AJ14" s="730">
        <f t="shared" si="5"/>
        <v>85.04798631054193</v>
      </c>
      <c r="AK14" s="716">
        <f t="shared" si="6"/>
        <v>86.61214515962979</v>
      </c>
      <c r="AL14" s="717">
        <f t="shared" si="7"/>
        <v>85.766028295513351</v>
      </c>
      <c r="AM14" s="716">
        <f t="shared" si="8"/>
        <v>87.103384111483464</v>
      </c>
      <c r="AN14" s="197"/>
    </row>
    <row r="15" spans="1:40" x14ac:dyDescent="0.2">
      <c r="A15" s="43">
        <v>39513</v>
      </c>
      <c r="B15" s="40">
        <f t="shared" si="4"/>
        <v>66</v>
      </c>
      <c r="C15" s="9">
        <v>323.85000000000002</v>
      </c>
      <c r="D15" s="171">
        <v>-0.36</v>
      </c>
      <c r="E15" s="18">
        <f>C15-D15/(D16-D15)*(C16-C15)</f>
        <v>327.78120000000001</v>
      </c>
      <c r="F15" s="18"/>
      <c r="G15" s="34">
        <v>5.24</v>
      </c>
      <c r="H15" s="203">
        <v>345.79</v>
      </c>
      <c r="I15" s="49">
        <f>H15-180</f>
        <v>165.79000000000002</v>
      </c>
      <c r="J15" s="124">
        <f t="shared" si="9"/>
        <v>-0.96940252091422885</v>
      </c>
      <c r="K15" s="151">
        <f t="shared" si="10"/>
        <v>0.24547658227443639</v>
      </c>
      <c r="L15" s="566">
        <f>J15+0.2*COS(RADIANS(E15))</f>
        <v>-0.80019886647370808</v>
      </c>
      <c r="M15" s="380">
        <f>K15+0.2*SIN(RADIANS(E15))</f>
        <v>0.13884580189666337</v>
      </c>
      <c r="N15" s="50">
        <f>B15+(E15-C15)/(C16-C15)</f>
        <v>66.287999999999997</v>
      </c>
      <c r="O15" s="823">
        <f>N15-N11</f>
        <v>27.386360655737704</v>
      </c>
      <c r="P15" s="696">
        <f>ABS(E11-E15)/(N15-N11)</f>
        <v>3.0427974198004334E-3</v>
      </c>
      <c r="Q15" s="710">
        <f t="shared" si="11"/>
        <v>229</v>
      </c>
      <c r="R15" s="837">
        <f>COS(RADIANS(E39))</f>
        <v>0.74977155575539323</v>
      </c>
      <c r="S15" s="711">
        <f>SIN(RADIANS(E39))</f>
        <v>-0.66169676905674646</v>
      </c>
      <c r="T15" s="837">
        <f t="shared" si="0"/>
        <v>86.044955043390303</v>
      </c>
      <c r="U15" s="840">
        <f t="shared" si="1"/>
        <v>86.50954954322566</v>
      </c>
      <c r="V15" s="712">
        <f>G39</f>
        <v>5.2750000000000004</v>
      </c>
      <c r="W15" s="837">
        <f t="shared" si="2"/>
        <v>86.153671918974837</v>
      </c>
      <c r="X15" s="713">
        <f t="shared" si="3"/>
        <v>86.605495574738896</v>
      </c>
      <c r="Y15" s="714">
        <f t="shared" si="22"/>
        <v>0.75</v>
      </c>
      <c r="Z15" s="730">
        <f t="shared" si="12"/>
        <v>89.268311131126183</v>
      </c>
      <c r="AA15" s="727">
        <f t="shared" si="13"/>
        <v>89.318361239976667</v>
      </c>
      <c r="AB15" s="715">
        <f t="shared" si="14"/>
        <v>88.536622262252365</v>
      </c>
      <c r="AC15" s="715">
        <f t="shared" si="15"/>
        <v>88.636722479953335</v>
      </c>
      <c r="AD15" s="730">
        <f t="shared" si="16"/>
        <v>87.804933393378533</v>
      </c>
      <c r="AE15" s="727">
        <f t="shared" si="17"/>
        <v>87.955083719930002</v>
      </c>
      <c r="AF15" s="715">
        <f t="shared" si="18"/>
        <v>87.073244524504716</v>
      </c>
      <c r="AG15" s="715">
        <f t="shared" si="19"/>
        <v>87.273444959906669</v>
      </c>
      <c r="AH15" s="730">
        <f t="shared" si="20"/>
        <v>86.341555655630899</v>
      </c>
      <c r="AI15" s="715">
        <f t="shared" si="21"/>
        <v>86.591806199883337</v>
      </c>
      <c r="AJ15" s="730">
        <f t="shared" si="5"/>
        <v>85.609866786757081</v>
      </c>
      <c r="AK15" s="716">
        <f t="shared" si="6"/>
        <v>85.91016743985999</v>
      </c>
      <c r="AL15" s="717">
        <f t="shared" si="7"/>
        <v>86.246436102677293</v>
      </c>
      <c r="AM15" s="716">
        <f t="shared" si="8"/>
        <v>86.50319316108029</v>
      </c>
      <c r="AN15" s="197">
        <f>(G15-4.95)*0.3</f>
        <v>8.7000000000000008E-2</v>
      </c>
    </row>
    <row r="16" spans="1:40" x14ac:dyDescent="0.2">
      <c r="A16" s="41">
        <f>A15+1</f>
        <v>39514</v>
      </c>
      <c r="B16" s="42">
        <f t="shared" si="4"/>
        <v>67</v>
      </c>
      <c r="C16" s="22">
        <v>337.5</v>
      </c>
      <c r="D16" s="33">
        <v>0.89</v>
      </c>
      <c r="E16" s="133"/>
      <c r="F16" s="17"/>
      <c r="G16" s="558"/>
      <c r="H16" s="204"/>
      <c r="I16" s="22"/>
      <c r="J16" s="123">
        <f>J15</f>
        <v>-0.96940252091422885</v>
      </c>
      <c r="K16" s="284">
        <f>K15</f>
        <v>0.24547658227443639</v>
      </c>
      <c r="L16" s="353">
        <f>J15</f>
        <v>-0.96940252091422885</v>
      </c>
      <c r="M16" s="383">
        <f>K15</f>
        <v>0.24547658227443639</v>
      </c>
      <c r="N16" s="25"/>
      <c r="O16" s="523"/>
      <c r="P16" s="697"/>
      <c r="Q16" s="710">
        <f t="shared" si="11"/>
        <v>256</v>
      </c>
      <c r="R16" s="837">
        <f>COS(RADIANS(E43))</f>
        <v>0.74710948035037117</v>
      </c>
      <c r="S16" s="711">
        <f>SIN(RADIANS(E43))</f>
        <v>-0.66470100373822083</v>
      </c>
      <c r="T16" s="837">
        <f t="shared" si="0"/>
        <v>86.122501796981567</v>
      </c>
      <c r="U16" s="840">
        <f t="shared" si="1"/>
        <v>86.550201790598635</v>
      </c>
      <c r="V16" s="712">
        <f>G43</f>
        <v>5.19</v>
      </c>
      <c r="W16" s="837">
        <f t="shared" si="2"/>
        <v>86.167328365802589</v>
      </c>
      <c r="X16" s="713">
        <f t="shared" si="3"/>
        <v>86.590083850822921</v>
      </c>
      <c r="Y16" s="714">
        <f t="shared" si="22"/>
        <v>0.9</v>
      </c>
      <c r="Z16" s="730">
        <f t="shared" si="12"/>
        <v>89.378390031729339</v>
      </c>
      <c r="AA16" s="727">
        <f t="shared" si="13"/>
        <v>89.21667309037251</v>
      </c>
      <c r="AB16" s="715">
        <f t="shared" si="14"/>
        <v>88.756780063458677</v>
      </c>
      <c r="AC16" s="715">
        <f t="shared" si="15"/>
        <v>88.433346180745033</v>
      </c>
      <c r="AD16" s="730">
        <f t="shared" si="16"/>
        <v>88.135170095188002</v>
      </c>
      <c r="AE16" s="727">
        <f t="shared" si="17"/>
        <v>87.650019271117543</v>
      </c>
      <c r="AF16" s="715">
        <f t="shared" si="18"/>
        <v>87.513560126917341</v>
      </c>
      <c r="AG16" s="715">
        <f t="shared" si="19"/>
        <v>86.866692361490067</v>
      </c>
      <c r="AH16" s="730">
        <f t="shared" si="20"/>
        <v>86.891950158646679</v>
      </c>
      <c r="AI16" s="715">
        <f t="shared" si="21"/>
        <v>86.083365451862576</v>
      </c>
      <c r="AJ16" s="730">
        <f t="shared" si="5"/>
        <v>86.270340190376018</v>
      </c>
      <c r="AK16" s="716">
        <f t="shared" si="6"/>
        <v>85.3000385422351</v>
      </c>
      <c r="AL16" s="717">
        <f t="shared" si="7"/>
        <v>86.811140862771495</v>
      </c>
      <c r="AM16" s="716">
        <f t="shared" si="8"/>
        <v>85.981532953611008</v>
      </c>
      <c r="AN16" s="197"/>
    </row>
    <row r="17" spans="1:40" x14ac:dyDescent="0.2">
      <c r="A17" s="43">
        <v>39526</v>
      </c>
      <c r="B17" s="40">
        <f t="shared" si="4"/>
        <v>79</v>
      </c>
      <c r="C17" s="23">
        <v>145.97</v>
      </c>
      <c r="D17" s="69">
        <v>0.14000000000000001</v>
      </c>
      <c r="E17" s="132"/>
      <c r="F17" s="18">
        <f>C17+D17/(-D18+D17)*(C18-C17)</f>
        <v>147.5219658119658</v>
      </c>
      <c r="G17" s="34">
        <v>5.18</v>
      </c>
      <c r="H17" s="203">
        <v>358.76</v>
      </c>
      <c r="I17" s="49">
        <f>H17-180</f>
        <v>178.76</v>
      </c>
      <c r="J17" s="124">
        <f t="shared" si="9"/>
        <v>-0.99976581926834129</v>
      </c>
      <c r="K17" s="151">
        <f t="shared" si="10"/>
        <v>2.1640393312097845E-2</v>
      </c>
      <c r="L17" s="566"/>
      <c r="M17" s="380"/>
      <c r="N17" s="127">
        <f>B17+(F17-C17)/(C18-C17)</f>
        <v>79.119658119658112</v>
      </c>
      <c r="O17" s="388"/>
      <c r="P17" s="356">
        <f>ABS(F13-F17)/(N17-N13)</f>
        <v>8.8857900407264927E-3</v>
      </c>
      <c r="Q17" s="710">
        <v>284</v>
      </c>
      <c r="R17" s="837">
        <f>COS(RADIANS(E47))</f>
        <v>0.72870847659422444</v>
      </c>
      <c r="S17" s="711">
        <f>SIN(RADIANS(E47))</f>
        <v>-0.68482403297469396</v>
      </c>
      <c r="T17" s="837">
        <f t="shared" si="0"/>
        <v>86.334596362731048</v>
      </c>
      <c r="U17" s="840">
        <f t="shared" si="1"/>
        <v>86.555335114137293</v>
      </c>
      <c r="V17" s="712">
        <f>G47</f>
        <v>5.03</v>
      </c>
      <c r="W17" s="837">
        <f t="shared" si="2"/>
        <v>86.261725515071632</v>
      </c>
      <c r="X17" s="713">
        <f t="shared" si="3"/>
        <v>86.486852710839827</v>
      </c>
      <c r="Y17" s="714">
        <f t="shared" si="22"/>
        <v>1.05</v>
      </c>
      <c r="Z17" s="730">
        <f t="shared" si="12"/>
        <v>89.502428952108275</v>
      </c>
      <c r="AA17" s="727">
        <f t="shared" si="13"/>
        <v>89.132576774405976</v>
      </c>
      <c r="AB17" s="715">
        <f t="shared" si="14"/>
        <v>89.00485790421655</v>
      </c>
      <c r="AC17" s="715">
        <f t="shared" si="15"/>
        <v>88.265153548811966</v>
      </c>
      <c r="AD17" s="730">
        <f t="shared" si="16"/>
        <v>88.507286856324825</v>
      </c>
      <c r="AE17" s="727">
        <f t="shared" si="17"/>
        <v>87.397730323217942</v>
      </c>
      <c r="AF17" s="715">
        <f t="shared" si="18"/>
        <v>88.009715808433086</v>
      </c>
      <c r="AG17" s="715">
        <f t="shared" si="19"/>
        <v>86.530307097623933</v>
      </c>
      <c r="AH17" s="730">
        <f t="shared" si="20"/>
        <v>87.512144760541361</v>
      </c>
      <c r="AI17" s="715">
        <f t="shared" si="21"/>
        <v>85.662883872029909</v>
      </c>
      <c r="AJ17" s="730">
        <f t="shared" si="5"/>
        <v>87.014573712649636</v>
      </c>
      <c r="AK17" s="716">
        <f t="shared" si="6"/>
        <v>84.795460646435899</v>
      </c>
      <c r="AL17" s="717">
        <f t="shared" si="7"/>
        <v>87.447460524315446</v>
      </c>
      <c r="AM17" s="716">
        <f t="shared" si="8"/>
        <v>85.550118852702695</v>
      </c>
      <c r="AN17" s="197">
        <f>(G17-4.95)*0.3</f>
        <v>6.8999999999999853E-2</v>
      </c>
    </row>
    <row r="18" spans="1:40" x14ac:dyDescent="0.2">
      <c r="A18" s="41">
        <f>A17+1</f>
        <v>39527</v>
      </c>
      <c r="B18" s="42">
        <f t="shared" si="4"/>
        <v>80</v>
      </c>
      <c r="C18" s="22">
        <v>158.94</v>
      </c>
      <c r="D18" s="33">
        <v>-1.03</v>
      </c>
      <c r="E18" s="133"/>
      <c r="F18" s="17"/>
      <c r="G18" s="558"/>
      <c r="H18" s="204"/>
      <c r="I18" s="49"/>
      <c r="J18" s="123">
        <f>J17</f>
        <v>-0.99976581926834129</v>
      </c>
      <c r="K18" s="284">
        <f>K17</f>
        <v>2.1640393312097845E-2</v>
      </c>
      <c r="L18" s="567"/>
      <c r="M18" s="490"/>
      <c r="N18" s="25"/>
      <c r="O18" s="377"/>
      <c r="P18" s="356"/>
      <c r="Q18" s="710">
        <f t="shared" si="11"/>
        <v>311</v>
      </c>
      <c r="R18" s="837">
        <f>COS(RADIANS(E51))</f>
        <v>0.69310833103354708</v>
      </c>
      <c r="S18" s="711">
        <f>SIN(RADIANS(E51))</f>
        <v>-0.72083343530380928</v>
      </c>
      <c r="T18" s="837">
        <f t="shared" si="0"/>
        <v>86.544854969797768</v>
      </c>
      <c r="U18" s="840">
        <f t="shared" si="1"/>
        <v>86.406645325010516</v>
      </c>
      <c r="V18" s="712">
        <f>G51</f>
        <v>4.9850000000000003</v>
      </c>
      <c r="W18" s="837">
        <f t="shared" si="2"/>
        <v>86.444354261797898</v>
      </c>
      <c r="X18" s="713">
        <f t="shared" si="3"/>
        <v>86.302124476891464</v>
      </c>
      <c r="Y18" s="714">
        <f t="shared" si="22"/>
        <v>1.2</v>
      </c>
      <c r="Z18" s="730">
        <f t="shared" si="12"/>
        <v>89.637642245523324</v>
      </c>
      <c r="AA18" s="727">
        <f t="shared" si="13"/>
        <v>89.067960914032767</v>
      </c>
      <c r="AB18" s="715">
        <f t="shared" si="14"/>
        <v>89.275284491046648</v>
      </c>
      <c r="AC18" s="715">
        <f t="shared" si="15"/>
        <v>88.135921828065548</v>
      </c>
      <c r="AD18" s="730">
        <f t="shared" si="16"/>
        <v>88.912926736569986</v>
      </c>
      <c r="AE18" s="727">
        <f t="shared" si="17"/>
        <v>87.203882742098315</v>
      </c>
      <c r="AF18" s="715">
        <f t="shared" si="18"/>
        <v>88.55056898209331</v>
      </c>
      <c r="AG18" s="715">
        <f t="shared" si="19"/>
        <v>86.271843656131097</v>
      </c>
      <c r="AH18" s="730">
        <f t="shared" si="20"/>
        <v>88.188211227616634</v>
      </c>
      <c r="AI18" s="715">
        <f t="shared" si="21"/>
        <v>85.339804570163864</v>
      </c>
      <c r="AJ18" s="730">
        <f t="shared" si="5"/>
        <v>87.825853473139958</v>
      </c>
      <c r="AK18" s="716">
        <f t="shared" si="6"/>
        <v>84.407765484196645</v>
      </c>
      <c r="AL18" s="717">
        <f t="shared" si="7"/>
        <v>88.141104719534667</v>
      </c>
      <c r="AM18" s="716">
        <f t="shared" si="8"/>
        <v>85.218639488988131</v>
      </c>
      <c r="AN18" s="197"/>
    </row>
    <row r="19" spans="1:40" x14ac:dyDescent="0.2">
      <c r="A19" s="43">
        <v>39540</v>
      </c>
      <c r="B19" s="40">
        <f t="shared" si="4"/>
        <v>93</v>
      </c>
      <c r="C19" s="9">
        <v>318.39999999999998</v>
      </c>
      <c r="D19" s="171">
        <v>-0.76</v>
      </c>
      <c r="E19" s="18">
        <f>C19-D19/(D20-D19)*(C20-C19)</f>
        <v>326.84233333333333</v>
      </c>
      <c r="F19" s="18"/>
      <c r="G19" s="34">
        <v>5.12</v>
      </c>
      <c r="H19" s="203">
        <v>12.62</v>
      </c>
      <c r="I19" s="23">
        <f>H19-180+360</f>
        <v>192.62</v>
      </c>
      <c r="J19" s="124">
        <f t="shared" si="9"/>
        <v>-0.97584055612797838</v>
      </c>
      <c r="K19" s="151">
        <f t="shared" si="10"/>
        <v>-0.21848388731400298</v>
      </c>
      <c r="L19" s="566">
        <f>J19+0.2*COS(RADIANS(E19))</f>
        <v>-0.80840682504311301</v>
      </c>
      <c r="M19" s="380">
        <f>K19+0.2*SIN(RADIANS(E19))</f>
        <v>-0.32787285245674935</v>
      </c>
      <c r="N19" s="50">
        <f>B19+(E19-C19)/(C20-C19)</f>
        <v>93.633333333333326</v>
      </c>
      <c r="O19" s="388">
        <f>N19-N15</f>
        <v>27.345333333333329</v>
      </c>
      <c r="P19" s="696">
        <f>ABS(E15-E19)/(N19-N15)</f>
        <v>3.4333707152957867E-2</v>
      </c>
      <c r="Q19" s="710">
        <f t="shared" si="11"/>
        <v>338</v>
      </c>
      <c r="R19" s="837">
        <f>COS(RADIANS(E55))</f>
        <v>0.65506993845074524</v>
      </c>
      <c r="S19" s="711">
        <f>SIN(RADIANS(E55))</f>
        <v>-0.75556824690965996</v>
      </c>
      <c r="T19" s="837">
        <f t="shared" si="0"/>
        <v>86.678795412054725</v>
      </c>
      <c r="U19" s="840">
        <f t="shared" si="1"/>
        <v>86.169268988168028</v>
      </c>
      <c r="V19" s="712">
        <f>G55</f>
        <v>5.07</v>
      </c>
      <c r="W19" s="837">
        <f t="shared" si="2"/>
        <v>86.639491215747682</v>
      </c>
      <c r="X19" s="713">
        <f t="shared" si="3"/>
        <v>86.12393489335345</v>
      </c>
      <c r="Y19" s="714">
        <f t="shared" si="22"/>
        <v>1.3499999999999999</v>
      </c>
      <c r="Z19" s="730">
        <f t="shared" si="12"/>
        <v>89.780993312906958</v>
      </c>
      <c r="AA19" s="727">
        <f t="shared" si="13"/>
        <v>89.024276642173348</v>
      </c>
      <c r="AB19" s="715">
        <f t="shared" si="14"/>
        <v>89.561986625813915</v>
      </c>
      <c r="AC19" s="715">
        <f t="shared" si="15"/>
        <v>88.048553284346681</v>
      </c>
      <c r="AD19" s="730">
        <f t="shared" si="16"/>
        <v>89.342979938720873</v>
      </c>
      <c r="AE19" s="727">
        <f t="shared" si="17"/>
        <v>87.072829926520029</v>
      </c>
      <c r="AF19" s="715">
        <f t="shared" si="18"/>
        <v>89.123973251627831</v>
      </c>
      <c r="AG19" s="715">
        <f t="shared" si="19"/>
        <v>86.097106568693363</v>
      </c>
      <c r="AH19" s="730">
        <f t="shared" si="20"/>
        <v>88.904966564534789</v>
      </c>
      <c r="AI19" s="715">
        <f t="shared" si="21"/>
        <v>85.121383210866711</v>
      </c>
      <c r="AJ19" s="730">
        <f t="shared" si="5"/>
        <v>88.685959877441746</v>
      </c>
      <c r="AK19" s="716">
        <f t="shared" si="6"/>
        <v>84.145659853040044</v>
      </c>
      <c r="AL19" s="717">
        <f t="shared" si="7"/>
        <v>88.876495695212697</v>
      </c>
      <c r="AM19" s="716">
        <f t="shared" si="8"/>
        <v>84.994539174349242</v>
      </c>
      <c r="AN19" s="197">
        <f>(G19-4.95)*0.3</f>
        <v>5.0999999999999976E-2</v>
      </c>
    </row>
    <row r="20" spans="1:40" x14ac:dyDescent="0.2">
      <c r="A20" s="41">
        <f>A19+1</f>
        <v>39541</v>
      </c>
      <c r="B20" s="42">
        <f t="shared" si="4"/>
        <v>94</v>
      </c>
      <c r="C20" s="22">
        <v>331.73</v>
      </c>
      <c r="D20" s="33">
        <v>0.44</v>
      </c>
      <c r="E20" s="133"/>
      <c r="F20" s="17"/>
      <c r="G20" s="558"/>
      <c r="H20" s="204"/>
      <c r="I20" s="22"/>
      <c r="J20" s="123">
        <f>J19</f>
        <v>-0.97584055612797838</v>
      </c>
      <c r="K20" s="284">
        <f>K19</f>
        <v>-0.21848388731400298</v>
      </c>
      <c r="L20" s="353">
        <f>J19</f>
        <v>-0.97584055612797838</v>
      </c>
      <c r="M20" s="383">
        <f>K19</f>
        <v>-0.21848388731400298</v>
      </c>
      <c r="N20" s="25"/>
      <c r="O20" s="523"/>
      <c r="P20" s="697"/>
      <c r="Q20" s="710">
        <f t="shared" si="11"/>
        <v>365</v>
      </c>
      <c r="R20" s="837">
        <f>COS(RADIANS(E59))</f>
        <v>0.63511051740445446</v>
      </c>
      <c r="S20" s="711">
        <f>SIN(RADIANS(E59))</f>
        <v>-0.77242127798387727</v>
      </c>
      <c r="T20" s="837">
        <f t="shared" si="0"/>
        <v>86.70060086208386</v>
      </c>
      <c r="U20" s="840">
        <f t="shared" si="1"/>
        <v>85.987271460873757</v>
      </c>
      <c r="V20" s="712">
        <f>G59</f>
        <v>5.1950000000000003</v>
      </c>
      <c r="W20" s="837">
        <f t="shared" si="2"/>
        <v>86.741883045715156</v>
      </c>
      <c r="X20" s="713">
        <f t="shared" si="3"/>
        <v>86.037478843942708</v>
      </c>
      <c r="Y20" s="714">
        <f t="shared" si="22"/>
        <v>1.4999999999999998</v>
      </c>
      <c r="Z20" s="730">
        <f t="shared" si="12"/>
        <v>89.929262798332303</v>
      </c>
      <c r="AA20" s="727">
        <f t="shared" si="13"/>
        <v>89.002505013395947</v>
      </c>
      <c r="AB20" s="715">
        <f t="shared" si="14"/>
        <v>89.858525596664592</v>
      </c>
      <c r="AC20" s="715">
        <f t="shared" si="15"/>
        <v>88.005010026791894</v>
      </c>
      <c r="AD20" s="730">
        <f t="shared" si="16"/>
        <v>89.787788394996895</v>
      </c>
      <c r="AE20" s="727">
        <f t="shared" si="17"/>
        <v>87.00751504018784</v>
      </c>
      <c r="AF20" s="715">
        <f t="shared" si="18"/>
        <v>89.717051193329183</v>
      </c>
      <c r="AG20" s="715">
        <f t="shared" si="19"/>
        <v>86.010020053583787</v>
      </c>
      <c r="AH20" s="730">
        <f t="shared" si="20"/>
        <v>89.646313991661486</v>
      </c>
      <c r="AI20" s="715">
        <f t="shared" si="21"/>
        <v>85.012525066979734</v>
      </c>
      <c r="AJ20" s="730">
        <f t="shared" si="5"/>
        <v>89.575576789993775</v>
      </c>
      <c r="AK20" s="716">
        <f t="shared" si="6"/>
        <v>84.015030080375681</v>
      </c>
      <c r="AL20" s="717">
        <f t="shared" si="7"/>
        <v>89.637118155444682</v>
      </c>
      <c r="AM20" s="716">
        <f t="shared" si="8"/>
        <v>84.882850718721201</v>
      </c>
      <c r="AN20" s="197"/>
    </row>
    <row r="21" spans="1:40" ht="13.5" thickBot="1" x14ac:dyDescent="0.25">
      <c r="A21" s="43">
        <v>39553</v>
      </c>
      <c r="B21" s="40">
        <f t="shared" si="4"/>
        <v>106</v>
      </c>
      <c r="C21" s="23">
        <v>142.93</v>
      </c>
      <c r="D21" s="69">
        <v>0.28000000000000003</v>
      </c>
      <c r="E21" s="132"/>
      <c r="F21" s="18">
        <f>C21+D21/(-D22+D21)*(C22-C21)</f>
        <v>146.09350877192983</v>
      </c>
      <c r="G21" s="34">
        <v>5.07</v>
      </c>
      <c r="H21" s="203">
        <v>25.4</v>
      </c>
      <c r="I21" s="49">
        <f>H21-180+360</f>
        <v>205.4</v>
      </c>
      <c r="J21" s="124">
        <f t="shared" si="9"/>
        <v>-0.90333529286330072</v>
      </c>
      <c r="K21" s="151">
        <f t="shared" si="10"/>
        <v>-0.42893513340314615</v>
      </c>
      <c r="L21" s="566"/>
      <c r="M21" s="380"/>
      <c r="N21" s="127">
        <f>B21+(F21-C21)/(C22-C21)</f>
        <v>106.24561403508773</v>
      </c>
      <c r="O21" s="388"/>
      <c r="P21" s="696">
        <f>ABS(F17-F21)/(N21-N17)</f>
        <v>5.266015488963615E-2</v>
      </c>
      <c r="Q21" s="718"/>
      <c r="R21" s="702"/>
      <c r="S21" s="702"/>
      <c r="T21" s="1448" t="s">
        <v>143</v>
      </c>
      <c r="U21" s="1449"/>
      <c r="V21" s="828"/>
      <c r="W21" s="828"/>
      <c r="X21" s="828"/>
      <c r="Y21" s="714">
        <f t="shared" si="22"/>
        <v>1.6499999999999997</v>
      </c>
      <c r="Z21" s="730">
        <f>90-COS(Y21)</f>
        <v>90.079120888806727</v>
      </c>
      <c r="AA21" s="727">
        <f>90-SIN(Y21)</f>
        <v>89.003134971546075</v>
      </c>
      <c r="AB21" s="715">
        <f>90-2*COS(Y21)</f>
        <v>90.158241777613469</v>
      </c>
      <c r="AC21" s="715">
        <f>90-2*SIN(Y21)</f>
        <v>88.006269943092164</v>
      </c>
      <c r="AD21" s="730">
        <f>90-3*COS(Y21)</f>
        <v>90.237362666420196</v>
      </c>
      <c r="AE21" s="727">
        <f>90-3*SIN(Y21)</f>
        <v>87.009404914638239</v>
      </c>
      <c r="AF21" s="715">
        <f>90-4*COS(Y21)</f>
        <v>90.316483555226938</v>
      </c>
      <c r="AG21" s="715">
        <f>90-4*SIN(Y21)</f>
        <v>86.012539886184328</v>
      </c>
      <c r="AH21" s="730">
        <f>90-5*COS(Y21)</f>
        <v>90.395604444033665</v>
      </c>
      <c r="AI21" s="715">
        <f>90-5*SIN(Y21)</f>
        <v>85.015674857730403</v>
      </c>
      <c r="AJ21" s="730">
        <f>90-6*COS( Y21)</f>
        <v>90.474725332840407</v>
      </c>
      <c r="AK21" s="716">
        <f>90-6*SIN(Y21)</f>
        <v>84.018809829276492</v>
      </c>
      <c r="AL21" s="717">
        <f>90-5.13*COS(Y21)</f>
        <v>90.405890159578547</v>
      </c>
      <c r="AM21" s="716">
        <f>90-5.13*SIN(Y21)</f>
        <v>84.886082404031399</v>
      </c>
      <c r="AN21" s="197">
        <f>(G21-4.95)*0.3</f>
        <v>3.6000000000000032E-2</v>
      </c>
    </row>
    <row r="22" spans="1:40" ht="15.75" thickBot="1" x14ac:dyDescent="0.3">
      <c r="A22" s="41">
        <f>A21+1</f>
        <v>39554</v>
      </c>
      <c r="B22" s="42">
        <f t="shared" si="4"/>
        <v>107</v>
      </c>
      <c r="C22" s="22">
        <v>155.81</v>
      </c>
      <c r="D22" s="33">
        <v>-0.86</v>
      </c>
      <c r="E22" s="133"/>
      <c r="F22" s="17"/>
      <c r="G22" s="558"/>
      <c r="H22" s="204"/>
      <c r="I22" s="49"/>
      <c r="J22" s="123">
        <f>J21</f>
        <v>-0.90333529286330072</v>
      </c>
      <c r="K22" s="284">
        <f>K21</f>
        <v>-0.42893513340314615</v>
      </c>
      <c r="L22" s="567"/>
      <c r="M22" s="490"/>
      <c r="N22" s="25"/>
      <c r="O22" s="377"/>
      <c r="P22" s="697"/>
      <c r="Q22" s="831"/>
      <c r="R22" s="832"/>
      <c r="S22" s="832"/>
      <c r="T22" s="833"/>
      <c r="U22" s="1457" t="s">
        <v>100</v>
      </c>
      <c r="V22" s="1458"/>
      <c r="W22" s="829">
        <v>90</v>
      </c>
      <c r="X22" s="830">
        <v>90</v>
      </c>
      <c r="Y22" s="714">
        <f t="shared" si="22"/>
        <v>1.7999999999999996</v>
      </c>
      <c r="Z22" s="730">
        <f>90-COS(Y22)</f>
        <v>90.227202094693084</v>
      </c>
      <c r="AA22" s="727">
        <f>90-SIN(Y22)</f>
        <v>89.026152369121803</v>
      </c>
      <c r="AB22" s="715">
        <f>90-2*COS(Y22)</f>
        <v>90.454404189386167</v>
      </c>
      <c r="AC22" s="715">
        <f>90-2*SIN(Y22)</f>
        <v>88.052304738243606</v>
      </c>
      <c r="AD22" s="730">
        <f>90-3*COS(Y22)</f>
        <v>90.681606284079265</v>
      </c>
      <c r="AE22" s="727">
        <f>90-3*SIN(Y22)</f>
        <v>87.078457107365409</v>
      </c>
      <c r="AF22" s="715">
        <f>90-4*COS(Y22)</f>
        <v>90.908808378772349</v>
      </c>
      <c r="AG22" s="715">
        <f>90-4*SIN(Y22)</f>
        <v>86.104609476487212</v>
      </c>
      <c r="AH22" s="730">
        <f>90-5*COS(Y22)</f>
        <v>91.136010473465433</v>
      </c>
      <c r="AI22" s="715">
        <f>90-5*SIN(Y22)</f>
        <v>85.13076184560903</v>
      </c>
      <c r="AJ22" s="730">
        <f>90-6*COS( Y22)</f>
        <v>91.363212568158517</v>
      </c>
      <c r="AK22" s="716">
        <f>90-6*SIN(Y22)</f>
        <v>84.156914214730833</v>
      </c>
      <c r="AL22" s="717">
        <f>90-5.13*COS(Y22)</f>
        <v>91.165546745775529</v>
      </c>
      <c r="AM22" s="716">
        <f>90-5.13*SIN(Y22)</f>
        <v>85.004161653594863</v>
      </c>
      <c r="AN22" s="197"/>
    </row>
    <row r="23" spans="1:40" ht="13.5" thickBot="1" x14ac:dyDescent="0.25">
      <c r="A23" s="43">
        <v>39567</v>
      </c>
      <c r="B23" s="40">
        <f t="shared" si="4"/>
        <v>120</v>
      </c>
      <c r="C23" s="23">
        <v>313.79000000000002</v>
      </c>
      <c r="D23" s="69">
        <v>-0.94</v>
      </c>
      <c r="E23" s="18">
        <f>C23-D23/(D24-D23)*(C24-C23)</f>
        <v>324.47106194690264</v>
      </c>
      <c r="F23" s="18"/>
      <c r="G23" s="34">
        <v>5.0250000000000004</v>
      </c>
      <c r="H23" s="201">
        <v>39.049999999999997</v>
      </c>
      <c r="I23" s="23">
        <f>H23-180+360</f>
        <v>219.05</v>
      </c>
      <c r="J23" s="124">
        <f t="shared" si="9"/>
        <v>-0.77659647996775949</v>
      </c>
      <c r="K23" s="151">
        <f t="shared" si="10"/>
        <v>-0.62999833912613235</v>
      </c>
      <c r="L23" s="566">
        <f>J23+0.2*COS(RADIANS(E23))</f>
        <v>-0.61383205552829512</v>
      </c>
      <c r="M23" s="380">
        <f>K23+0.2*SIN(RADIANS(E23))</f>
        <v>-0.74622115158947744</v>
      </c>
      <c r="N23" s="50">
        <f>B23+(E23-C23)/(C24-C23)</f>
        <v>120.83185840707965</v>
      </c>
      <c r="O23" s="388">
        <f>N23-N19</f>
        <v>27.198525073746325</v>
      </c>
      <c r="P23" s="356">
        <f>ABS(E19-E23)/(N23-N19)</f>
        <v>8.7183822652191822E-2</v>
      </c>
      <c r="Q23" s="701"/>
      <c r="R23" s="702"/>
      <c r="S23" s="702"/>
      <c r="T23" s="712"/>
      <c r="U23" s="826"/>
      <c r="V23" s="824"/>
      <c r="W23" s="824"/>
      <c r="X23" s="827"/>
      <c r="Y23" s="825">
        <f t="shared" si="22"/>
        <v>1.9499999999999995</v>
      </c>
      <c r="Z23" s="731">
        <f>90-COS(Y23)</f>
        <v>90.370180831351291</v>
      </c>
      <c r="AA23" s="728">
        <f>90-SIN(Y23)</f>
        <v>89.07104028499613</v>
      </c>
      <c r="AB23" s="719"/>
      <c r="AC23" s="719"/>
      <c r="AD23" s="732"/>
      <c r="AE23" s="733"/>
      <c r="AF23" s="719"/>
      <c r="AG23" s="719"/>
      <c r="AH23" s="732"/>
      <c r="AI23" s="719"/>
      <c r="AJ23" s="732"/>
      <c r="AK23" s="719"/>
      <c r="AL23" s="719"/>
      <c r="AM23" s="721"/>
      <c r="AN23" s="197">
        <f>(G23-4.95)*0.3</f>
        <v>2.2500000000000051E-2</v>
      </c>
    </row>
    <row r="24" spans="1:40" x14ac:dyDescent="0.2">
      <c r="A24" s="41">
        <f>A23+1</f>
        <v>39568</v>
      </c>
      <c r="B24" s="42">
        <f t="shared" si="4"/>
        <v>121</v>
      </c>
      <c r="C24" s="22">
        <v>326.63</v>
      </c>
      <c r="D24" s="33">
        <v>0.19</v>
      </c>
      <c r="E24" s="133"/>
      <c r="F24" s="17"/>
      <c r="G24" s="558"/>
      <c r="H24" s="16"/>
      <c r="I24" s="22"/>
      <c r="J24" s="123">
        <f>J23</f>
        <v>-0.77659647996775949</v>
      </c>
      <c r="K24" s="284">
        <f>K23</f>
        <v>-0.62999833912613235</v>
      </c>
      <c r="L24" s="353">
        <f>J23</f>
        <v>-0.77659647996775949</v>
      </c>
      <c r="M24" s="383">
        <f>K23</f>
        <v>-0.62999833912613235</v>
      </c>
      <c r="N24" s="25"/>
      <c r="O24" s="523"/>
      <c r="P24" s="356"/>
      <c r="Q24" s="1452" t="s">
        <v>142</v>
      </c>
      <c r="R24" s="1448"/>
      <c r="S24" s="1448"/>
      <c r="T24" s="1448"/>
      <c r="U24" s="1448"/>
      <c r="V24" s="1448"/>
      <c r="W24" s="1448"/>
      <c r="X24" s="1453"/>
      <c r="AN24" s="206"/>
    </row>
    <row r="25" spans="1:40" ht="15" x14ac:dyDescent="0.3">
      <c r="A25" s="181">
        <v>39580</v>
      </c>
      <c r="B25" s="182">
        <f t="shared" si="4"/>
        <v>133</v>
      </c>
      <c r="C25" s="183">
        <v>139.71</v>
      </c>
      <c r="D25" s="163">
        <v>0.32</v>
      </c>
      <c r="E25" s="184"/>
      <c r="F25" s="164">
        <f>C25+D25/(-D26+D25)*(C26-C25)</f>
        <v>143.3524347826087</v>
      </c>
      <c r="G25" s="34">
        <v>4.99</v>
      </c>
      <c r="H25" s="205">
        <v>51.65</v>
      </c>
      <c r="I25" s="195">
        <f>H25-180+360</f>
        <v>231.65</v>
      </c>
      <c r="J25" s="124">
        <f t="shared" si="9"/>
        <v>-0.62046364229175199</v>
      </c>
      <c r="K25" s="151">
        <f t="shared" si="10"/>
        <v>-0.78423521254407647</v>
      </c>
      <c r="L25" s="566"/>
      <c r="M25" s="380"/>
      <c r="N25" s="127">
        <f>B25+(F25-C25)/(C26-C25)</f>
        <v>133.27826086956523</v>
      </c>
      <c r="O25" s="388"/>
      <c r="P25" s="696">
        <f>ABS(F21-F25)/(N25-N21)</f>
        <v>0.10139865349127281</v>
      </c>
      <c r="Q25" s="699" t="s">
        <v>0</v>
      </c>
      <c r="R25" s="835" t="s">
        <v>74</v>
      </c>
      <c r="S25" s="700" t="s">
        <v>75</v>
      </c>
      <c r="T25" s="1433" t="s">
        <v>72</v>
      </c>
      <c r="U25" s="1434"/>
      <c r="V25" s="845" t="s">
        <v>76</v>
      </c>
      <c r="W25" s="1435" t="s">
        <v>73</v>
      </c>
      <c r="X25" s="1436"/>
      <c r="AN25" s="206">
        <f>(G25-4.95)*0.3</f>
        <v>1.2000000000000011E-2</v>
      </c>
    </row>
    <row r="26" spans="1:40" x14ac:dyDescent="0.2">
      <c r="A26" s="174">
        <f>A25+1</f>
        <v>39581</v>
      </c>
      <c r="B26" s="175">
        <f t="shared" si="4"/>
        <v>134</v>
      </c>
      <c r="C26" s="176">
        <v>152.80000000000001</v>
      </c>
      <c r="D26" s="168">
        <v>-0.83</v>
      </c>
      <c r="E26" s="120"/>
      <c r="F26" s="1460" t="s">
        <v>111</v>
      </c>
      <c r="G26" s="1461"/>
      <c r="H26" s="202"/>
      <c r="I26" s="49"/>
      <c r="J26" s="123">
        <f>J25</f>
        <v>-0.62046364229175199</v>
      </c>
      <c r="K26" s="284">
        <f>K25</f>
        <v>-0.78423521254407647</v>
      </c>
      <c r="L26" s="567"/>
      <c r="M26" s="490"/>
      <c r="N26" s="25"/>
      <c r="O26" s="377"/>
      <c r="P26" s="697"/>
      <c r="Q26" s="704" t="s">
        <v>6</v>
      </c>
      <c r="R26" s="836"/>
      <c r="S26" s="705"/>
      <c r="T26" s="844" t="s">
        <v>10</v>
      </c>
      <c r="U26" s="839" t="s">
        <v>11</v>
      </c>
      <c r="V26" s="844" t="s">
        <v>77</v>
      </c>
      <c r="W26" s="843" t="s">
        <v>10</v>
      </c>
      <c r="X26" s="706" t="s">
        <v>11</v>
      </c>
      <c r="AN26" s="206"/>
    </row>
    <row r="27" spans="1:40" x14ac:dyDescent="0.2">
      <c r="A27" s="43">
        <v>39594</v>
      </c>
      <c r="B27" s="40">
        <f t="shared" si="4"/>
        <v>147</v>
      </c>
      <c r="C27" s="23">
        <v>310.29000000000002</v>
      </c>
      <c r="D27" s="69">
        <v>-0.99</v>
      </c>
      <c r="E27" s="18">
        <f>C27-D27/(D28-D27)*(C28-C27)</f>
        <v>321.52199999999999</v>
      </c>
      <c r="F27" s="128"/>
      <c r="G27" s="445">
        <v>4.9850000000000003</v>
      </c>
      <c r="H27" s="201">
        <v>65.12</v>
      </c>
      <c r="I27" s="23">
        <f>H27-180+360</f>
        <v>245.12</v>
      </c>
      <c r="J27" s="124">
        <f t="shared" si="9"/>
        <v>-0.42071916963275524</v>
      </c>
      <c r="K27" s="151">
        <f t="shared" si="10"/>
        <v>-0.90719092825244063</v>
      </c>
      <c r="L27" s="566">
        <f>J27+0.2*COS(RADIANS(E27))</f>
        <v>-0.26414974410959191</v>
      </c>
      <c r="M27" s="380">
        <f>K27+0.2*SIN(RADIANS(E27))</f>
        <v>-1.0316337464114111</v>
      </c>
      <c r="N27" s="50">
        <f>B27+(E27-C27)/(C28-C27)</f>
        <v>147.9</v>
      </c>
      <c r="O27" s="388">
        <f>N27-N23</f>
        <v>27.068141592920355</v>
      </c>
      <c r="P27" s="356">
        <f>ABS(E23-E27)/(N27-N23)</f>
        <v>0.10894955373197729</v>
      </c>
      <c r="Q27" s="710">
        <f>B105</f>
        <v>26</v>
      </c>
      <c r="R27" s="837">
        <f>COS(RADIANS(E105))</f>
        <v>0.6328648247676697</v>
      </c>
      <c r="S27" s="711">
        <f>SIN(RADIANS(E105))</f>
        <v>-0.77426230282236186</v>
      </c>
      <c r="T27" s="842">
        <f>90-V27*R27</f>
        <v>86.658473725226699</v>
      </c>
      <c r="U27" s="840">
        <f>90+V27*S27</f>
        <v>85.911895041097935</v>
      </c>
      <c r="V27" s="712">
        <f>G105</f>
        <v>5.28</v>
      </c>
      <c r="W27" s="842">
        <f>90-5.13*R27</f>
        <v>86.753403448941853</v>
      </c>
      <c r="X27" s="713">
        <f>90+5.13*S27</f>
        <v>86.028034386521284</v>
      </c>
      <c r="AN27" s="206">
        <f>(G27-4.95)*0.3</f>
        <v>1.0500000000000042E-2</v>
      </c>
    </row>
    <row r="28" spans="1:40" x14ac:dyDescent="0.2">
      <c r="A28" s="41">
        <f>A27+1</f>
        <v>39595</v>
      </c>
      <c r="B28" s="42">
        <f t="shared" si="4"/>
        <v>148</v>
      </c>
      <c r="C28" s="22">
        <v>322.77</v>
      </c>
      <c r="D28" s="33">
        <v>0.11</v>
      </c>
      <c r="E28" s="133"/>
      <c r="F28" s="17"/>
      <c r="G28" s="558"/>
      <c r="H28" s="16"/>
      <c r="I28" s="22"/>
      <c r="J28" s="123">
        <f>J27</f>
        <v>-0.42071916963275524</v>
      </c>
      <c r="K28" s="284">
        <f>K27</f>
        <v>-0.90719092825244063</v>
      </c>
      <c r="L28" s="353">
        <f>J27</f>
        <v>-0.42071916963275524</v>
      </c>
      <c r="M28" s="383">
        <f>K27</f>
        <v>-0.90719092825244063</v>
      </c>
      <c r="N28" s="25"/>
      <c r="O28" s="523"/>
      <c r="P28" s="356"/>
      <c r="Q28" s="710">
        <f>Q27+27</f>
        <v>53</v>
      </c>
      <c r="R28" s="837">
        <f>COS(RADIANS(E107))</f>
        <v>0.63276430433337061</v>
      </c>
      <c r="S28" s="711">
        <f>SIN(RADIANS(E107))</f>
        <v>-0.77434445511122862</v>
      </c>
      <c r="T28" s="837">
        <f t="shared" ref="T28:T39" si="23">90-V28*R28</f>
        <v>86.684315045293133</v>
      </c>
      <c r="U28" s="840">
        <f t="shared" ref="U28:U39" si="24">90+V28*S28</f>
        <v>85.94243505521716</v>
      </c>
      <c r="V28" s="712">
        <f>G107</f>
        <v>5.24</v>
      </c>
      <c r="W28" s="837">
        <f t="shared" ref="W28:W39" si="25">90-5.13*R28</f>
        <v>86.753919118769815</v>
      </c>
      <c r="X28" s="713">
        <f t="shared" ref="X28:X39" si="26">90+5.13*S28</f>
        <v>86.027612945279401</v>
      </c>
      <c r="AN28" s="206"/>
    </row>
    <row r="29" spans="1:40" x14ac:dyDescent="0.2">
      <c r="A29" s="43">
        <v>39607</v>
      </c>
      <c r="B29" s="40">
        <f t="shared" si="4"/>
        <v>160</v>
      </c>
      <c r="C29" s="23">
        <v>135.27000000000001</v>
      </c>
      <c r="D29" s="69">
        <v>0.47</v>
      </c>
      <c r="E29" s="132"/>
      <c r="F29" s="18">
        <f>C29+D29/(-D30+D29)*(C30-C29)</f>
        <v>140.55264462809919</v>
      </c>
      <c r="G29" s="34">
        <v>5.03</v>
      </c>
      <c r="H29" s="201">
        <v>77.58</v>
      </c>
      <c r="I29" s="49">
        <f>H29-180+360</f>
        <v>257.58</v>
      </c>
      <c r="J29" s="124">
        <f t="shared" si="9"/>
        <v>-0.21507623701711426</v>
      </c>
      <c r="K29" s="151">
        <f t="shared" si="10"/>
        <v>-0.97659726206382436</v>
      </c>
      <c r="L29" s="566"/>
      <c r="M29" s="380"/>
      <c r="N29" s="127">
        <f>B29+(F29-C29)/(C30-C29)</f>
        <v>160.38842975206612</v>
      </c>
      <c r="O29" s="388"/>
      <c r="P29" s="696">
        <f>ABS(F25-F29)/(N29-N25)</f>
        <v>0.10327453755984242</v>
      </c>
      <c r="Q29" s="710">
        <v>81</v>
      </c>
      <c r="R29" s="837">
        <f>COS(RADIANS(E109))</f>
        <v>0.61641321465475885</v>
      </c>
      <c r="S29" s="711">
        <f>SIN(RADIANS(E109))</f>
        <v>-0.78742285260143807</v>
      </c>
      <c r="T29" s="837">
        <f t="shared" si="23"/>
        <v>86.856292605260734</v>
      </c>
      <c r="U29" s="840">
        <f t="shared" si="24"/>
        <v>85.984143451732663</v>
      </c>
      <c r="V29" s="712">
        <f>G109</f>
        <v>5.0999999999999996</v>
      </c>
      <c r="W29" s="837">
        <f t="shared" si="25"/>
        <v>86.837800208821093</v>
      </c>
      <c r="X29" s="713">
        <f t="shared" si="26"/>
        <v>85.960520766154616</v>
      </c>
      <c r="AN29" s="206">
        <f>(G29-4.95)*0.3</f>
        <v>2.4000000000000021E-2</v>
      </c>
    </row>
    <row r="30" spans="1:40" x14ac:dyDescent="0.2">
      <c r="A30" s="41">
        <f>A29+1</f>
        <v>39608</v>
      </c>
      <c r="B30" s="42">
        <f t="shared" si="4"/>
        <v>161</v>
      </c>
      <c r="C30" s="22">
        <v>148.87</v>
      </c>
      <c r="D30" s="33">
        <v>-0.74</v>
      </c>
      <c r="E30" s="133"/>
      <c r="F30" s="17"/>
      <c r="G30" s="558"/>
      <c r="H30" s="16"/>
      <c r="I30" s="49"/>
      <c r="J30" s="123">
        <f>J29</f>
        <v>-0.21507623701711426</v>
      </c>
      <c r="K30" s="284">
        <f>K29</f>
        <v>-0.97659726206382436</v>
      </c>
      <c r="L30" s="567"/>
      <c r="M30" s="490"/>
      <c r="N30" s="25"/>
      <c r="O30" s="377"/>
      <c r="P30" s="697"/>
      <c r="Q30" s="710">
        <v>108</v>
      </c>
      <c r="R30" s="837">
        <f>COS(RADIANS(E111))</f>
        <v>0.57970518399713811</v>
      </c>
      <c r="S30" s="711">
        <f>SIN(RADIANS(E111))</f>
        <v>-0.81482630029156777</v>
      </c>
      <c r="T30" s="837">
        <f t="shared" si="23"/>
        <v>87.101474080014313</v>
      </c>
      <c r="U30" s="840">
        <f t="shared" si="24"/>
        <v>85.925868498542158</v>
      </c>
      <c r="V30" s="712">
        <f>G111</f>
        <v>5</v>
      </c>
      <c r="W30" s="837">
        <f t="shared" si="25"/>
        <v>87.026112406094683</v>
      </c>
      <c r="X30" s="713">
        <f t="shared" si="26"/>
        <v>85.819941079504261</v>
      </c>
      <c r="AN30" s="206"/>
    </row>
    <row r="31" spans="1:40" x14ac:dyDescent="0.2">
      <c r="A31" s="43">
        <v>39621</v>
      </c>
      <c r="B31" s="40">
        <f t="shared" si="4"/>
        <v>174</v>
      </c>
      <c r="C31" s="23">
        <v>307.37</v>
      </c>
      <c r="D31" s="69">
        <v>-1.07</v>
      </c>
      <c r="E31" s="18">
        <f>C31-D31/(D32-D31)*(C32-C31)</f>
        <v>319.42209090909091</v>
      </c>
      <c r="F31" s="18"/>
      <c r="G31" s="34">
        <v>5.085</v>
      </c>
      <c r="H31" s="201">
        <v>90.95</v>
      </c>
      <c r="I31" s="23">
        <f>H31-180+360</f>
        <v>270.95</v>
      </c>
      <c r="J31" s="124">
        <f t="shared" si="9"/>
        <v>1.6579868187697199E-2</v>
      </c>
      <c r="K31" s="151">
        <f t="shared" si="10"/>
        <v>-0.99986254453843737</v>
      </c>
      <c r="L31" s="566">
        <f>J31+0.2*COS(RADIANS(E31))</f>
        <v>0.16848430075051399</v>
      </c>
      <c r="M31" s="380">
        <f>K31+0.2*SIN(RADIANS(E31))</f>
        <v>-1.1299588295267822</v>
      </c>
      <c r="N31" s="50">
        <f>B31+(E31-C31)/(C32-C31)</f>
        <v>174.97272727272727</v>
      </c>
      <c r="O31" s="388">
        <f>N31-N27</f>
        <v>27.072727272727263</v>
      </c>
      <c r="P31" s="356">
        <f>ABS(E27-E31)/(N31-N27)</f>
        <v>7.756548018804528E-2</v>
      </c>
      <c r="Q31" s="710">
        <f t="shared" ref="Q31:Q39" si="27">Q30+27</f>
        <v>135</v>
      </c>
      <c r="R31" s="837">
        <f>COS(RADIANS(E113))</f>
        <v>0.53719165759036636</v>
      </c>
      <c r="S31" s="711">
        <f>SIN(RADIANS(E113))</f>
        <v>-0.8434602083176862</v>
      </c>
      <c r="T31" s="837">
        <f t="shared" si="23"/>
        <v>87.297925962320463</v>
      </c>
      <c r="U31" s="840">
        <f t="shared" si="24"/>
        <v>85.757395152162033</v>
      </c>
      <c r="V31" s="712">
        <f>G113</f>
        <v>5.03</v>
      </c>
      <c r="W31" s="837">
        <f t="shared" si="25"/>
        <v>87.244206796561414</v>
      </c>
      <c r="X31" s="713">
        <f t="shared" si="26"/>
        <v>85.673049131330274</v>
      </c>
      <c r="AN31" s="206">
        <f>(G31-4.95)*0.3</f>
        <v>4.0499999999999932E-2</v>
      </c>
    </row>
    <row r="32" spans="1:40" x14ac:dyDescent="0.2">
      <c r="A32" s="41">
        <f>A31+1</f>
        <v>39622</v>
      </c>
      <c r="B32" s="42">
        <f t="shared" si="4"/>
        <v>175</v>
      </c>
      <c r="C32" s="22">
        <v>319.76</v>
      </c>
      <c r="D32" s="33">
        <v>0.03</v>
      </c>
      <c r="E32" s="133"/>
      <c r="F32" s="17"/>
      <c r="G32" s="558"/>
      <c r="H32" s="16"/>
      <c r="I32" s="22"/>
      <c r="J32" s="123">
        <f>J31</f>
        <v>1.6579868187697199E-2</v>
      </c>
      <c r="K32" s="284">
        <f>K31</f>
        <v>-0.99986254453843737</v>
      </c>
      <c r="L32" s="353">
        <f>J31</f>
        <v>1.6579868187697199E-2</v>
      </c>
      <c r="M32" s="383">
        <f>K31</f>
        <v>-0.99986254453843737</v>
      </c>
      <c r="N32" s="25"/>
      <c r="O32" s="523"/>
      <c r="P32" s="356"/>
      <c r="Q32" s="710">
        <f t="shared" si="27"/>
        <v>162</v>
      </c>
      <c r="R32" s="837">
        <f>COS(RADIANS(E115))</f>
        <v>0.51067194648923397</v>
      </c>
      <c r="S32" s="711">
        <f>SIN(RADIANS(E115))</f>
        <v>-0.85977564693872144</v>
      </c>
      <c r="T32" s="837">
        <f t="shared" si="23"/>
        <v>87.370039475580441</v>
      </c>
      <c r="U32" s="840">
        <f t="shared" si="24"/>
        <v>85.572155418265581</v>
      </c>
      <c r="V32" s="712">
        <f>G115</f>
        <v>5.15</v>
      </c>
      <c r="W32" s="837">
        <f t="shared" si="25"/>
        <v>87.380252914510237</v>
      </c>
      <c r="X32" s="713">
        <f t="shared" si="26"/>
        <v>85.589350931204365</v>
      </c>
      <c r="AN32" s="206"/>
    </row>
    <row r="33" spans="1:40" x14ac:dyDescent="0.2">
      <c r="A33" s="44">
        <v>39634</v>
      </c>
      <c r="B33" s="40">
        <f t="shared" si="4"/>
        <v>187</v>
      </c>
      <c r="C33" s="23">
        <v>129.49</v>
      </c>
      <c r="D33" s="69">
        <v>0.85</v>
      </c>
      <c r="E33" s="132"/>
      <c r="F33" s="18">
        <f>C33+D33/(-D34+D33)*(C34-C33)</f>
        <v>138.87984374999999</v>
      </c>
      <c r="G33" s="34">
        <v>5.1550000000000002</v>
      </c>
      <c r="H33" s="201">
        <v>103.35</v>
      </c>
      <c r="I33" s="49">
        <f>H33-180+360</f>
        <v>283.35000000000002</v>
      </c>
      <c r="J33" s="124">
        <f t="shared" si="9"/>
        <v>0.23089890826091278</v>
      </c>
      <c r="K33" s="151">
        <f t="shared" si="10"/>
        <v>-0.97297774597568187</v>
      </c>
      <c r="L33" s="566"/>
      <c r="M33" s="380"/>
      <c r="N33" s="127">
        <f>B33+(F33-C33)/(C34-C33)</f>
        <v>187.6640625</v>
      </c>
      <c r="O33" s="388"/>
      <c r="P33" s="696">
        <f>ABS(F29-F33)/(N33-N29)</f>
        <v>6.1329498514600345E-2</v>
      </c>
      <c r="Q33" s="710">
        <v>189</v>
      </c>
      <c r="R33" s="837">
        <f>COS(RADIANS(E117))</f>
        <v>0.50259087764222077</v>
      </c>
      <c r="S33" s="711">
        <f>SIN(RADIANS(E117))</f>
        <v>-0.86452438352589123</v>
      </c>
      <c r="T33" s="837">
        <f t="shared" si="23"/>
        <v>87.346320166049068</v>
      </c>
      <c r="U33" s="840">
        <f t="shared" si="24"/>
        <v>85.43531125498329</v>
      </c>
      <c r="V33" s="712">
        <f>G117</f>
        <v>5.28</v>
      </c>
      <c r="W33" s="837">
        <f t="shared" si="25"/>
        <v>87.421708797695402</v>
      </c>
      <c r="X33" s="713">
        <f t="shared" si="26"/>
        <v>85.564989912512175</v>
      </c>
      <c r="AN33" s="206">
        <f>(G33-4.95)*0.3</f>
        <v>6.150000000000002E-2</v>
      </c>
    </row>
    <row r="34" spans="1:40" x14ac:dyDescent="0.2">
      <c r="A34" s="45">
        <f>A33+1</f>
        <v>39635</v>
      </c>
      <c r="B34" s="42">
        <f t="shared" si="4"/>
        <v>188</v>
      </c>
      <c r="C34" s="22">
        <v>143.63</v>
      </c>
      <c r="D34" s="26">
        <v>-0.43</v>
      </c>
      <c r="E34" s="132"/>
      <c r="F34" s="17"/>
      <c r="G34" s="558"/>
      <c r="H34" s="16"/>
      <c r="I34" s="49"/>
      <c r="J34" s="123">
        <f>J33</f>
        <v>0.23089890826091278</v>
      </c>
      <c r="K34" s="284">
        <f>K33</f>
        <v>-0.97297774597568187</v>
      </c>
      <c r="L34" s="567"/>
      <c r="M34" s="490"/>
      <c r="N34" s="25"/>
      <c r="O34" s="377"/>
      <c r="P34" s="697"/>
      <c r="Q34" s="710">
        <v>216</v>
      </c>
      <c r="R34" s="837">
        <f>COS(RADIANS(E119))</f>
        <v>0.50330915223300488</v>
      </c>
      <c r="S34" s="711">
        <f>SIN(RADIANS(E119))</f>
        <v>-0.86410641548277722</v>
      </c>
      <c r="T34" s="837">
        <f t="shared" si="23"/>
        <v>87.357626950776719</v>
      </c>
      <c r="U34" s="840">
        <f t="shared" si="24"/>
        <v>85.463441318715425</v>
      </c>
      <c r="V34" s="712">
        <f>G119</f>
        <v>5.25</v>
      </c>
      <c r="W34" s="837">
        <f t="shared" si="25"/>
        <v>87.418024049044689</v>
      </c>
      <c r="X34" s="713">
        <f t="shared" si="26"/>
        <v>85.567134088573354</v>
      </c>
      <c r="AN34" s="206"/>
    </row>
    <row r="35" spans="1:40" x14ac:dyDescent="0.2">
      <c r="A35" s="44">
        <v>39649</v>
      </c>
      <c r="B35" s="40">
        <f t="shared" si="4"/>
        <v>202</v>
      </c>
      <c r="C35" s="23">
        <v>316.74</v>
      </c>
      <c r="D35" s="69">
        <v>-0.17</v>
      </c>
      <c r="E35" s="18">
        <f>C35-D35/(D36-D35)*(C36-C35)</f>
        <v>318.59534482758619</v>
      </c>
      <c r="F35" s="18"/>
      <c r="G35" s="34">
        <v>5.23</v>
      </c>
      <c r="H35" s="201">
        <v>117.65</v>
      </c>
      <c r="I35" s="23">
        <f>H35-180+360</f>
        <v>297.64999999999998</v>
      </c>
      <c r="J35" s="124">
        <f t="shared" si="9"/>
        <v>0.46406921712668808</v>
      </c>
      <c r="K35" s="151">
        <f t="shared" si="10"/>
        <v>-0.88579893978002866</v>
      </c>
      <c r="L35" s="566">
        <f>J35+0.2*COS(RADIANS(E35))</f>
        <v>0.61408068449298059</v>
      </c>
      <c r="M35" s="380">
        <f>K35+0.2*SIN(RADIANS(E35))</f>
        <v>-1.0180735014259163</v>
      </c>
      <c r="N35" s="50">
        <f>B35+(E35-C35)/(C36-C35)</f>
        <v>202.14655172413794</v>
      </c>
      <c r="O35" s="388">
        <f>N35-N31</f>
        <v>27.173824451410667</v>
      </c>
      <c r="P35" s="356">
        <f>ABS(E31-E35)/(N35-N31)</f>
        <v>3.0424354988493506E-2</v>
      </c>
      <c r="Q35" s="710">
        <v>244</v>
      </c>
      <c r="R35" s="837">
        <f>COS(RADIANS(E121))</f>
        <v>0.49742542374899529</v>
      </c>
      <c r="S35" s="711">
        <f>SIN(RADIANS(E121))</f>
        <v>-0.86750674222632551</v>
      </c>
      <c r="T35" s="837">
        <f t="shared" si="23"/>
        <v>87.43825906769267</v>
      </c>
      <c r="U35" s="840">
        <f t="shared" si="24"/>
        <v>85.532340277534416</v>
      </c>
      <c r="V35" s="712">
        <f>G121</f>
        <v>5.15</v>
      </c>
      <c r="W35" s="837">
        <f t="shared" si="25"/>
        <v>87.448207576167647</v>
      </c>
      <c r="X35" s="713">
        <f t="shared" si="26"/>
        <v>85.549690412378951</v>
      </c>
      <c r="AN35" s="206">
        <f>(G35-4.95)*0.3</f>
        <v>8.4000000000000075E-2</v>
      </c>
    </row>
    <row r="36" spans="1:40" x14ac:dyDescent="0.2">
      <c r="A36" s="45">
        <v>39650</v>
      </c>
      <c r="B36" s="42">
        <f t="shared" si="4"/>
        <v>203</v>
      </c>
      <c r="C36" s="22">
        <v>329.4</v>
      </c>
      <c r="D36" s="33">
        <v>0.99</v>
      </c>
      <c r="E36" s="17"/>
      <c r="F36" s="17"/>
      <c r="G36" s="558"/>
      <c r="H36" s="16"/>
      <c r="I36" s="22"/>
      <c r="J36" s="123">
        <f>J35</f>
        <v>0.46406921712668808</v>
      </c>
      <c r="K36" s="284">
        <f>K35</f>
        <v>-0.88579893978002866</v>
      </c>
      <c r="L36" s="353">
        <f>J35</f>
        <v>0.46406921712668808</v>
      </c>
      <c r="M36" s="383">
        <f>K35</f>
        <v>-0.88579893978002866</v>
      </c>
      <c r="N36" s="25"/>
      <c r="O36" s="523"/>
      <c r="P36" s="356"/>
      <c r="Q36" s="710">
        <f t="shared" si="27"/>
        <v>271</v>
      </c>
      <c r="R36" s="837">
        <f>COS(RADIANS(E123))</f>
        <v>0.46810608632282336</v>
      </c>
      <c r="S36" s="711">
        <f>SIN(RADIANS(E123))</f>
        <v>-0.88367227632620082</v>
      </c>
      <c r="T36" s="837">
        <f t="shared" si="23"/>
        <v>87.640745324932965</v>
      </c>
      <c r="U36" s="840">
        <f t="shared" si="24"/>
        <v>85.546291727315946</v>
      </c>
      <c r="V36" s="712">
        <f>G123</f>
        <v>5.04</v>
      </c>
      <c r="W36" s="837">
        <f t="shared" si="25"/>
        <v>87.598615777163914</v>
      </c>
      <c r="X36" s="713">
        <f t="shared" si="26"/>
        <v>85.466761222446593</v>
      </c>
      <c r="AN36" s="206"/>
    </row>
    <row r="37" spans="1:40" x14ac:dyDescent="0.2">
      <c r="A37" s="282">
        <v>39662</v>
      </c>
      <c r="B37" s="182">
        <f t="shared" si="4"/>
        <v>215</v>
      </c>
      <c r="C37" s="183">
        <v>137.72</v>
      </c>
      <c r="D37" s="166">
        <v>7.0000000000000007E-2</v>
      </c>
      <c r="E37" s="184"/>
      <c r="F37" s="164">
        <f>C37+D37/(-D38+D37)*(C38-C37)</f>
        <v>138.48671874999999</v>
      </c>
      <c r="G37" s="34">
        <v>5.27</v>
      </c>
      <c r="H37" s="205">
        <v>130.08000000000001</v>
      </c>
      <c r="I37" s="183">
        <f>H37-180+360</f>
        <v>310.08000000000004</v>
      </c>
      <c r="J37" s="185">
        <f t="shared" si="9"/>
        <v>0.64385658258525424</v>
      </c>
      <c r="K37" s="187">
        <f t="shared" si="10"/>
        <v>-0.76514619587477373</v>
      </c>
      <c r="L37" s="566"/>
      <c r="M37" s="380"/>
      <c r="N37" s="127">
        <f>B37+(F37-C37)/(C38-C37)</f>
        <v>215.0546875</v>
      </c>
      <c r="O37" s="388"/>
      <c r="P37" s="696">
        <f>ABS(F33-F37)/(N37-N33)</f>
        <v>1.4352538505419198E-2</v>
      </c>
      <c r="Q37" s="710">
        <v>298</v>
      </c>
      <c r="R37" s="837">
        <f>COS(RADIANS(E125))</f>
        <v>0.42208941486217399</v>
      </c>
      <c r="S37" s="711">
        <f>SIN(RADIANS(E125))</f>
        <v>-0.90655420459082725</v>
      </c>
      <c r="T37" s="837">
        <f t="shared" si="23"/>
        <v>87.893773819837747</v>
      </c>
      <c r="U37" s="840">
        <f t="shared" si="24"/>
        <v>85.476294519091766</v>
      </c>
      <c r="V37" s="712">
        <f>G125</f>
        <v>4.99</v>
      </c>
      <c r="W37" s="837">
        <f t="shared" si="25"/>
        <v>87.834681301757044</v>
      </c>
      <c r="X37" s="713">
        <f t="shared" si="26"/>
        <v>85.349376930449054</v>
      </c>
      <c r="AN37" s="206">
        <f>(G37-4.95)*0.3</f>
        <v>9.5999999999999822E-2</v>
      </c>
    </row>
    <row r="38" spans="1:40" x14ac:dyDescent="0.2">
      <c r="A38" s="283">
        <v>39663</v>
      </c>
      <c r="B38" s="175">
        <f t="shared" si="4"/>
        <v>216</v>
      </c>
      <c r="C38" s="176">
        <v>151.74</v>
      </c>
      <c r="D38" s="168">
        <v>-1.21</v>
      </c>
      <c r="E38" s="120"/>
      <c r="F38" s="1460" t="s">
        <v>70</v>
      </c>
      <c r="G38" s="1461"/>
      <c r="H38" s="202"/>
      <c r="I38" s="195"/>
      <c r="J38" s="123">
        <f>J37</f>
        <v>0.64385658258525424</v>
      </c>
      <c r="K38" s="284">
        <f>K37</f>
        <v>-0.76514619587477373</v>
      </c>
      <c r="L38" s="567"/>
      <c r="M38" s="490"/>
      <c r="N38" s="25"/>
      <c r="O38" s="377"/>
      <c r="P38" s="697"/>
      <c r="Q38" s="710">
        <f t="shared" si="27"/>
        <v>325</v>
      </c>
      <c r="R38" s="837">
        <f>COS(RADIANS(E127))</f>
        <v>0.37898842970714147</v>
      </c>
      <c r="S38" s="711">
        <f>SIN(RADIANS(E127))</f>
        <v>-0.92540141027994716</v>
      </c>
      <c r="T38" s="837">
        <f t="shared" si="23"/>
        <v>88.070948892790653</v>
      </c>
      <c r="U38" s="840">
        <f t="shared" si="24"/>
        <v>85.289706821675068</v>
      </c>
      <c r="V38" s="712">
        <f>G127</f>
        <v>5.09</v>
      </c>
      <c r="W38" s="837">
        <f t="shared" si="25"/>
        <v>88.055789355602371</v>
      </c>
      <c r="X38" s="713">
        <f t="shared" si="26"/>
        <v>85.252690765263878</v>
      </c>
      <c r="AN38" s="206"/>
    </row>
    <row r="39" spans="1:40" ht="13.5" thickBot="1" x14ac:dyDescent="0.25">
      <c r="A39" s="192">
        <v>39676</v>
      </c>
      <c r="B39" s="193">
        <f t="shared" si="4"/>
        <v>229</v>
      </c>
      <c r="C39" s="183">
        <v>313.06</v>
      </c>
      <c r="D39" s="166">
        <v>-0.51</v>
      </c>
      <c r="E39" s="164">
        <f>C39-D39/(D40-D39)*(C40-C39)</f>
        <v>318.57059322033899</v>
      </c>
      <c r="F39" s="194"/>
      <c r="G39" s="445">
        <v>5.2750000000000004</v>
      </c>
      <c r="H39" s="218">
        <v>143.5</v>
      </c>
      <c r="I39" s="183">
        <f>H39-180+360</f>
        <v>323.5</v>
      </c>
      <c r="J39" s="185">
        <f t="shared" si="9"/>
        <v>0.80385686061721751</v>
      </c>
      <c r="K39" s="187">
        <f t="shared" si="10"/>
        <v>-0.59482278675134104</v>
      </c>
      <c r="L39" s="566">
        <f>J39+0.2*COS(RADIANS(E39))</f>
        <v>0.95381117176829622</v>
      </c>
      <c r="M39" s="380">
        <f>K39+0.2*SIN(RADIANS(E39))</f>
        <v>-0.72716214056269035</v>
      </c>
      <c r="N39" s="50">
        <f>B39+(E39-C39)/(C40-C39)</f>
        <v>229.43220338983051</v>
      </c>
      <c r="O39" s="388">
        <f>N39-N35</f>
        <v>27.285651665692569</v>
      </c>
      <c r="P39" s="356">
        <f>ABS(E35-E39)/(N39-N35)</f>
        <v>9.0712904901289141E-4</v>
      </c>
      <c r="Q39" s="722">
        <f t="shared" si="27"/>
        <v>352</v>
      </c>
      <c r="R39" s="838">
        <f>COS(RADIANS(E129))</f>
        <v>0.36045538066652505</v>
      </c>
      <c r="S39" s="723">
        <f>SIN(RADIANS(E129))</f>
        <v>-0.93277645690087529</v>
      </c>
      <c r="T39" s="834">
        <f t="shared" si="23"/>
        <v>88.114818359114068</v>
      </c>
      <c r="U39" s="841">
        <f t="shared" si="24"/>
        <v>85.121579130408421</v>
      </c>
      <c r="V39" s="720">
        <f>G129</f>
        <v>5.23</v>
      </c>
      <c r="W39" s="838">
        <f t="shared" si="25"/>
        <v>88.150863897180727</v>
      </c>
      <c r="X39" s="724">
        <f t="shared" si="26"/>
        <v>85.214856776098515</v>
      </c>
      <c r="AN39" s="206">
        <f>(G39-4.95)*0.3</f>
        <v>9.7500000000000045E-2</v>
      </c>
    </row>
    <row r="40" spans="1:40" x14ac:dyDescent="0.2">
      <c r="A40" s="174">
        <v>39677</v>
      </c>
      <c r="B40" s="175">
        <f t="shared" si="4"/>
        <v>230</v>
      </c>
      <c r="C40" s="176">
        <v>325.81</v>
      </c>
      <c r="D40" s="168">
        <v>0.67</v>
      </c>
      <c r="E40" s="188"/>
      <c r="F40" s="169"/>
      <c r="G40" s="558"/>
      <c r="H40" s="202"/>
      <c r="I40" s="176"/>
      <c r="J40" s="123">
        <f>J39</f>
        <v>0.80385686061721751</v>
      </c>
      <c r="K40" s="284">
        <f>K39</f>
        <v>-0.59482278675134104</v>
      </c>
      <c r="L40" s="353">
        <f>J39</f>
        <v>0.80385686061721751</v>
      </c>
      <c r="M40" s="383">
        <f>K39</f>
        <v>-0.59482278675134104</v>
      </c>
      <c r="N40" s="25"/>
      <c r="O40" s="523"/>
      <c r="P40" s="390"/>
      <c r="S40" s="345"/>
      <c r="T40" s="345"/>
      <c r="U40" s="345"/>
      <c r="V40" s="345"/>
      <c r="AN40" s="206"/>
    </row>
    <row r="41" spans="1:40" ht="13.5" thickBot="1" x14ac:dyDescent="0.25">
      <c r="A41" s="39">
        <v>39689</v>
      </c>
      <c r="B41" s="46">
        <f t="shared" si="4"/>
        <v>242</v>
      </c>
      <c r="C41" s="49">
        <v>132.43</v>
      </c>
      <c r="D41" s="26">
        <v>0.56000000000000005</v>
      </c>
      <c r="E41" s="132"/>
      <c r="F41" s="82">
        <f>C41+D41/(-D42+D41)*(C42-C41)</f>
        <v>138.52875</v>
      </c>
      <c r="G41" s="34">
        <v>5.2450000000000001</v>
      </c>
      <c r="H41" s="206">
        <v>156.03</v>
      </c>
      <c r="I41" s="49">
        <f>H41-180+360</f>
        <v>336.03</v>
      </c>
      <c r="J41" s="124">
        <f t="shared" si="9"/>
        <v>0.91375829921434082</v>
      </c>
      <c r="K41" s="151">
        <f t="shared" si="10"/>
        <v>-0.40625825606000338</v>
      </c>
      <c r="L41" s="566"/>
      <c r="M41" s="380"/>
      <c r="N41" s="127">
        <f>B41+(F41-C41)/(C42-C41)</f>
        <v>242.4375</v>
      </c>
      <c r="O41" s="388"/>
      <c r="P41" s="448">
        <f>ABS(F37-F41)/(N41-N37)</f>
        <v>1.5349500713269669E-3</v>
      </c>
      <c r="S41" s="345"/>
      <c r="T41" s="345"/>
      <c r="U41" s="345"/>
      <c r="V41" s="345"/>
      <c r="AN41" s="206">
        <f>(G41-4.95)*0.3</f>
        <v>8.8499999999999981E-2</v>
      </c>
    </row>
    <row r="42" spans="1:40" x14ac:dyDescent="0.2">
      <c r="A42" s="41">
        <v>39690</v>
      </c>
      <c r="B42" s="42">
        <f t="shared" si="4"/>
        <v>243</v>
      </c>
      <c r="C42" s="22">
        <v>146.37</v>
      </c>
      <c r="D42" s="33">
        <v>-0.72</v>
      </c>
      <c r="E42" s="133"/>
      <c r="F42" s="17"/>
      <c r="G42" s="558"/>
      <c r="H42" s="16"/>
      <c r="I42" s="49"/>
      <c r="J42" s="123">
        <f>J41</f>
        <v>0.91375829921434082</v>
      </c>
      <c r="K42" s="284">
        <f>K41</f>
        <v>-0.40625825606000338</v>
      </c>
      <c r="L42" s="567"/>
      <c r="M42" s="490"/>
      <c r="N42" s="25"/>
      <c r="O42" s="377"/>
      <c r="P42" s="449"/>
      <c r="R42" s="1351" t="s">
        <v>188</v>
      </c>
      <c r="S42" s="1352"/>
      <c r="T42" s="1353"/>
      <c r="U42" s="1127"/>
      <c r="V42" s="345"/>
      <c r="AN42" s="206"/>
    </row>
    <row r="43" spans="1:40" ht="13.5" thickBot="1" x14ac:dyDescent="0.25">
      <c r="A43" s="39">
        <v>39703</v>
      </c>
      <c r="B43" s="46">
        <f t="shared" si="4"/>
        <v>256</v>
      </c>
      <c r="C43" s="49">
        <v>308.63</v>
      </c>
      <c r="D43" s="26">
        <v>-0.88</v>
      </c>
      <c r="E43" s="132">
        <f>C43-D43/(D44-D43)*(C44-C43)</f>
        <v>318.34060869565218</v>
      </c>
      <c r="F43" s="82"/>
      <c r="G43" s="34">
        <v>5.19</v>
      </c>
      <c r="H43" s="206">
        <v>169.6</v>
      </c>
      <c r="I43" s="23">
        <f>H43-180+360</f>
        <v>349.6</v>
      </c>
      <c r="J43" s="124">
        <f t="shared" si="9"/>
        <v>0.98357147081338592</v>
      </c>
      <c r="K43" s="151">
        <f t="shared" si="10"/>
        <v>-0.18051914525055959</v>
      </c>
      <c r="L43" s="566">
        <f>J43+0.2*COS(RADIANS(E43))</f>
        <v>1.1329933668834602</v>
      </c>
      <c r="M43" s="380">
        <f>K43+0.2*SIN(RADIANS(E43))</f>
        <v>-0.3134593459982038</v>
      </c>
      <c r="N43" s="50">
        <f>B43+(E43-C43)/(C44-C43)</f>
        <v>256.76521739130436</v>
      </c>
      <c r="O43" s="388">
        <f>N43-N39</f>
        <v>27.333014001473856</v>
      </c>
      <c r="P43" s="390">
        <f>ABS(E39-E43)/(N43-N39)</f>
        <v>8.4141662779820704E-3</v>
      </c>
      <c r="R43" s="1136" t="s">
        <v>10</v>
      </c>
      <c r="S43" s="1137" t="s">
        <v>11</v>
      </c>
      <c r="T43" s="1132"/>
      <c r="U43" s="660"/>
      <c r="V43" s="345"/>
      <c r="AN43" s="206">
        <f>(G43-4.95)*0.3</f>
        <v>7.2000000000000064E-2</v>
      </c>
    </row>
    <row r="44" spans="1:40" x14ac:dyDescent="0.2">
      <c r="A44" s="41">
        <v>39704</v>
      </c>
      <c r="B44" s="42">
        <f t="shared" si="4"/>
        <v>257</v>
      </c>
      <c r="C44" s="22">
        <v>321.32</v>
      </c>
      <c r="D44" s="33">
        <v>0.27</v>
      </c>
      <c r="E44" s="133"/>
      <c r="F44" s="17"/>
      <c r="G44" s="558"/>
      <c r="H44" s="16"/>
      <c r="I44" s="22"/>
      <c r="J44" s="123">
        <f>J43</f>
        <v>0.98357147081338592</v>
      </c>
      <c r="K44" s="284">
        <f>K43</f>
        <v>-0.18051914525055959</v>
      </c>
      <c r="L44" s="353">
        <f>J43</f>
        <v>0.98357147081338592</v>
      </c>
      <c r="M44" s="383">
        <f>K43</f>
        <v>-0.18051914525055959</v>
      </c>
      <c r="N44" s="25"/>
      <c r="O44" s="523"/>
      <c r="P44" s="390"/>
      <c r="R44" s="1135">
        <v>45</v>
      </c>
      <c r="S44" s="1140">
        <v>311</v>
      </c>
      <c r="T44" s="1111"/>
      <c r="U44" s="1131"/>
      <c r="V44" s="345"/>
      <c r="AN44" s="206"/>
    </row>
    <row r="45" spans="1:40" x14ac:dyDescent="0.2">
      <c r="A45" s="39">
        <v>39716</v>
      </c>
      <c r="B45" s="46">
        <f t="shared" si="4"/>
        <v>269</v>
      </c>
      <c r="C45" s="49">
        <v>128.5</v>
      </c>
      <c r="D45" s="26">
        <v>0.84</v>
      </c>
      <c r="E45" s="132"/>
      <c r="F45" s="82">
        <f>C45+D45/(-D46+D45)*(C46-C45)</f>
        <v>137.83560975609754</v>
      </c>
      <c r="G45" s="34">
        <v>5.12</v>
      </c>
      <c r="H45" s="206">
        <v>182.29</v>
      </c>
      <c r="I45" s="49">
        <f>H45-180</f>
        <v>2.289999999999992</v>
      </c>
      <c r="J45" s="124">
        <f t="shared" si="9"/>
        <v>0.99920138421495375</v>
      </c>
      <c r="K45" s="151">
        <f t="shared" si="10"/>
        <v>3.9957399601580616E-2</v>
      </c>
      <c r="L45" s="566"/>
      <c r="M45" s="380"/>
      <c r="N45" s="127">
        <f>B45+(F45-C45)/(C46-C45)</f>
        <v>269.6829268292683</v>
      </c>
      <c r="O45" s="388"/>
      <c r="P45" s="448">
        <f>ABS(F41-F45)/(N45-N41)</f>
        <v>2.5440608739440228E-2</v>
      </c>
      <c r="R45" s="1138">
        <v>45</v>
      </c>
      <c r="S45" s="1141">
        <v>329</v>
      </c>
      <c r="T45" s="1111"/>
      <c r="U45" s="1110"/>
      <c r="V45" s="345"/>
      <c r="AN45" s="206">
        <f>(G45-4.95)*0.3</f>
        <v>5.0999999999999976E-2</v>
      </c>
    </row>
    <row r="46" spans="1:40" x14ac:dyDescent="0.2">
      <c r="A46" s="41">
        <v>39717</v>
      </c>
      <c r="B46" s="42">
        <f t="shared" si="4"/>
        <v>270</v>
      </c>
      <c r="C46" s="22">
        <v>142.16999999999999</v>
      </c>
      <c r="D46" s="33">
        <v>-0.39</v>
      </c>
      <c r="E46" s="133"/>
      <c r="F46" s="17"/>
      <c r="G46" s="558"/>
      <c r="H46" s="16"/>
      <c r="I46" s="49"/>
      <c r="J46" s="123">
        <f>J45</f>
        <v>0.99920138421495375</v>
      </c>
      <c r="K46" s="284">
        <f>K45</f>
        <v>3.9957399601580616E-2</v>
      </c>
      <c r="L46" s="567"/>
      <c r="M46" s="490"/>
      <c r="N46" s="25"/>
      <c r="O46" s="377"/>
      <c r="P46" s="449"/>
      <c r="R46" s="1134">
        <v>222</v>
      </c>
      <c r="S46" s="1142">
        <v>311</v>
      </c>
      <c r="T46" s="1117"/>
      <c r="U46" s="1114"/>
      <c r="V46" s="345"/>
      <c r="AN46" s="206"/>
    </row>
    <row r="47" spans="1:40" x14ac:dyDescent="0.2">
      <c r="A47" s="39">
        <v>39731</v>
      </c>
      <c r="B47" s="46">
        <f t="shared" si="4"/>
        <v>284</v>
      </c>
      <c r="C47" s="49">
        <v>316.44</v>
      </c>
      <c r="D47" s="26">
        <v>-0.03</v>
      </c>
      <c r="E47" s="132">
        <f>C47-D47/(D48-D47)*(C48-C47)</f>
        <v>316.77823008849555</v>
      </c>
      <c r="F47" s="82"/>
      <c r="G47" s="34">
        <v>5.03</v>
      </c>
      <c r="H47" s="206">
        <v>197.06</v>
      </c>
      <c r="I47" s="23">
        <f>H47-180</f>
        <v>17.060000000000002</v>
      </c>
      <c r="J47" s="124">
        <f t="shared" si="9"/>
        <v>0.95599806073306048</v>
      </c>
      <c r="K47" s="151">
        <f t="shared" si="10"/>
        <v>0.29337298422763414</v>
      </c>
      <c r="L47" s="566">
        <f>J47+0.2*COS(RADIANS(E47))</f>
        <v>1.1017397560519053</v>
      </c>
      <c r="M47" s="380">
        <f>K47+0.2*SIN(RADIANS(E47))</f>
        <v>0.15640817763269535</v>
      </c>
      <c r="N47" s="50">
        <f>B47+(E47-C47)/(C48-C47)</f>
        <v>284.02654867256638</v>
      </c>
      <c r="O47" s="388">
        <f>N47-N43</f>
        <v>27.261331281262017</v>
      </c>
      <c r="P47" s="390">
        <f>ABS(E43-E47)/(N47-N43)</f>
        <v>5.7311163238404544E-2</v>
      </c>
      <c r="R47" s="1139">
        <v>222</v>
      </c>
      <c r="S47" s="868">
        <v>323</v>
      </c>
      <c r="T47" s="1128"/>
      <c r="U47" s="1127"/>
      <c r="V47" s="345"/>
      <c r="AN47" s="206">
        <f>(G47-4.95)*0.3</f>
        <v>2.4000000000000021E-2</v>
      </c>
    </row>
    <row r="48" spans="1:40" x14ac:dyDescent="0.2">
      <c r="A48" s="41">
        <v>39732</v>
      </c>
      <c r="B48" s="42">
        <f t="shared" si="4"/>
        <v>285</v>
      </c>
      <c r="C48" s="22">
        <v>329.18</v>
      </c>
      <c r="D48" s="33">
        <v>1.1000000000000001</v>
      </c>
      <c r="E48" s="133"/>
      <c r="F48" s="17"/>
      <c r="G48" s="558"/>
      <c r="H48" s="16"/>
      <c r="I48" s="22"/>
      <c r="J48" s="123">
        <f>J47</f>
        <v>0.95599806073306048</v>
      </c>
      <c r="K48" s="284">
        <f>K47</f>
        <v>0.29337298422763414</v>
      </c>
      <c r="L48" s="353">
        <f>J47</f>
        <v>0.95599806073306048</v>
      </c>
      <c r="M48" s="383">
        <f>K47</f>
        <v>0.29337298422763414</v>
      </c>
      <c r="N48" s="25"/>
      <c r="O48" s="523"/>
      <c r="P48" s="390"/>
      <c r="R48" s="1135">
        <v>45</v>
      </c>
      <c r="S48" s="1143">
        <v>314</v>
      </c>
      <c r="T48" s="1111"/>
      <c r="U48" s="1131"/>
      <c r="V48" s="345"/>
      <c r="AN48" s="206"/>
    </row>
    <row r="49" spans="1:40" ht="13.5" thickBot="1" x14ac:dyDescent="0.25">
      <c r="A49" s="74">
        <v>39743</v>
      </c>
      <c r="B49" s="75">
        <f t="shared" si="4"/>
        <v>296</v>
      </c>
      <c r="C49" s="76">
        <v>125.41</v>
      </c>
      <c r="D49" s="61">
        <v>0.9</v>
      </c>
      <c r="E49" s="128"/>
      <c r="F49" s="128">
        <f>C49+D49/(-D50+D49)*(C50-C49)</f>
        <v>135.61750000000001</v>
      </c>
      <c r="G49" s="559">
        <v>4.99</v>
      </c>
      <c r="H49" s="562">
        <v>208.95</v>
      </c>
      <c r="I49" s="49">
        <f>H49-180</f>
        <v>28.949999999999989</v>
      </c>
      <c r="J49" s="124">
        <f t="shared" si="9"/>
        <v>0.87504245026115257</v>
      </c>
      <c r="K49" s="151">
        <f t="shared" si="10"/>
        <v>0.48404618606178312</v>
      </c>
      <c r="L49" s="566"/>
      <c r="M49" s="380"/>
      <c r="N49" s="127">
        <f>B49+(F49-C49)/(C50-C49)</f>
        <v>296.75</v>
      </c>
      <c r="O49" s="388"/>
      <c r="P49" s="448">
        <f>ABS(F45-F49)/(N49-N45)</f>
        <v>8.1948637080422507E-2</v>
      </c>
      <c r="R49" s="10">
        <v>222</v>
      </c>
      <c r="S49" s="1144">
        <v>314</v>
      </c>
      <c r="T49" s="1120"/>
      <c r="U49" s="1110"/>
      <c r="AN49" s="206">
        <f>(G49-4.95)*0.3</f>
        <v>1.2000000000000011E-2</v>
      </c>
    </row>
    <row r="50" spans="1:40" x14ac:dyDescent="0.2">
      <c r="A50" s="57">
        <v>39744</v>
      </c>
      <c r="B50" s="77">
        <f t="shared" si="4"/>
        <v>297</v>
      </c>
      <c r="C50" s="24">
        <v>139.02000000000001</v>
      </c>
      <c r="D50" s="78">
        <v>-0.3</v>
      </c>
      <c r="E50" s="134"/>
      <c r="F50" s="1460" t="s">
        <v>71</v>
      </c>
      <c r="G50" s="1461"/>
      <c r="H50" s="563"/>
      <c r="I50" s="49"/>
      <c r="J50" s="123">
        <f>J49</f>
        <v>0.87504245026115257</v>
      </c>
      <c r="K50" s="284">
        <f>K49</f>
        <v>0.48404618606178312</v>
      </c>
      <c r="L50" s="567"/>
      <c r="M50" s="490"/>
      <c r="N50" s="25"/>
      <c r="O50" s="377"/>
      <c r="P50" s="449"/>
      <c r="AN50" s="206"/>
    </row>
    <row r="51" spans="1:40" x14ac:dyDescent="0.2">
      <c r="A51" s="192">
        <v>39758</v>
      </c>
      <c r="B51" s="193">
        <f t="shared" si="4"/>
        <v>311</v>
      </c>
      <c r="C51" s="195">
        <v>312.05</v>
      </c>
      <c r="D51" s="166">
        <v>-0.16</v>
      </c>
      <c r="E51" s="184">
        <f>C51-D51/(D52-D51)*(C52-C51)</f>
        <v>313.87666666666667</v>
      </c>
      <c r="F51" s="246"/>
      <c r="G51" s="560">
        <v>4.9850000000000003</v>
      </c>
      <c r="H51" s="218">
        <v>223.94</v>
      </c>
      <c r="I51" s="183">
        <f>H51-180</f>
        <v>43.94</v>
      </c>
      <c r="J51" s="124">
        <f t="shared" si="9"/>
        <v>0.72006685032801365</v>
      </c>
      <c r="K51" s="151">
        <f t="shared" si="10"/>
        <v>0.69390469883024575</v>
      </c>
      <c r="L51" s="566">
        <f>J51+0.2*COS(RADIANS(E51))</f>
        <v>0.85868851653472311</v>
      </c>
      <c r="M51" s="380">
        <f>K51+0.2*SIN(RADIANS(E51))</f>
        <v>0.54973801176948389</v>
      </c>
      <c r="N51" s="50">
        <f>B51+(E51-C51)/(C52-C51)</f>
        <v>311.14814814814815</v>
      </c>
      <c r="O51" s="388">
        <f>N51-N47</f>
        <v>27.121599475581775</v>
      </c>
      <c r="P51" s="390">
        <f>ABS(E47-E51)/(N51-N47)</f>
        <v>0.10698349204814522</v>
      </c>
      <c r="R51" s="1129"/>
      <c r="AN51" s="206">
        <f t="shared" ref="AN51:AN59" si="28">(G51-4.95)*0.3</f>
        <v>1.0500000000000042E-2</v>
      </c>
    </row>
    <row r="52" spans="1:40" x14ac:dyDescent="0.2">
      <c r="A52" s="41">
        <v>39759</v>
      </c>
      <c r="B52" s="42">
        <f t="shared" si="4"/>
        <v>312</v>
      </c>
      <c r="C52" s="22">
        <v>324.38</v>
      </c>
      <c r="D52" s="33">
        <v>0.92</v>
      </c>
      <c r="E52" s="120"/>
      <c r="F52" s="120"/>
      <c r="G52" s="558"/>
      <c r="H52" s="16"/>
      <c r="I52" s="22"/>
      <c r="J52" s="123">
        <f>J51</f>
        <v>0.72006685032801365</v>
      </c>
      <c r="K52" s="284">
        <f>K51</f>
        <v>0.69390469883024575</v>
      </c>
      <c r="L52" s="353">
        <f>J51</f>
        <v>0.72006685032801365</v>
      </c>
      <c r="M52" s="383">
        <f>K51</f>
        <v>0.69390469883024575</v>
      </c>
      <c r="N52" s="25"/>
      <c r="O52" s="523"/>
      <c r="P52" s="390"/>
      <c r="AN52" s="206"/>
    </row>
    <row r="53" spans="1:40" x14ac:dyDescent="0.2">
      <c r="A53" s="39">
        <v>39770</v>
      </c>
      <c r="B53" s="46">
        <f t="shared" si="4"/>
        <v>323</v>
      </c>
      <c r="C53" s="49">
        <v>121.7</v>
      </c>
      <c r="D53" s="26">
        <v>0.96</v>
      </c>
      <c r="E53" s="132"/>
      <c r="F53" s="82">
        <f>C53+D53/(-D54+D53)*(C54-C53)</f>
        <v>132.53870967741935</v>
      </c>
      <c r="G53" s="34">
        <v>5.008</v>
      </c>
      <c r="H53" s="206">
        <v>236.01</v>
      </c>
      <c r="I53" s="49">
        <f>H53-180</f>
        <v>56.009999999999991</v>
      </c>
      <c r="J53" s="124">
        <f t="shared" si="9"/>
        <v>0.55904820060184846</v>
      </c>
      <c r="K53" s="151">
        <f t="shared" si="10"/>
        <v>0.82913515750077527</v>
      </c>
      <c r="L53" s="566"/>
      <c r="M53" s="380"/>
      <c r="N53" s="127">
        <f>B53+(F53-C53)/(C54-C53)</f>
        <v>323.77419354838707</v>
      </c>
      <c r="O53" s="388"/>
      <c r="P53" s="448">
        <f>ABS(F49-F53)/(N53-N49)</f>
        <v>0.11392718591465294</v>
      </c>
      <c r="AN53" s="206">
        <f t="shared" si="28"/>
        <v>1.7399999999999947E-2</v>
      </c>
    </row>
    <row r="54" spans="1:40" ht="13.5" thickBot="1" x14ac:dyDescent="0.25">
      <c r="A54" s="41">
        <v>39771</v>
      </c>
      <c r="B54" s="42">
        <f t="shared" si="4"/>
        <v>324</v>
      </c>
      <c r="C54" s="22">
        <v>135.69999999999999</v>
      </c>
      <c r="D54" s="33">
        <v>-0.28000000000000003</v>
      </c>
      <c r="E54" s="133"/>
      <c r="F54" s="17"/>
      <c r="G54" s="558"/>
      <c r="H54" s="16"/>
      <c r="I54" s="49"/>
      <c r="J54" s="123">
        <f>J53</f>
        <v>0.55904820060184846</v>
      </c>
      <c r="K54" s="284">
        <f>K53</f>
        <v>0.82913515750077527</v>
      </c>
      <c r="L54" s="567"/>
      <c r="M54" s="490"/>
      <c r="N54" s="25"/>
      <c r="O54" s="377"/>
      <c r="P54" s="449"/>
      <c r="AN54" s="206"/>
    </row>
    <row r="55" spans="1:40" x14ac:dyDescent="0.2">
      <c r="A55" s="39">
        <v>39785</v>
      </c>
      <c r="B55" s="46">
        <f t="shared" si="4"/>
        <v>338</v>
      </c>
      <c r="C55" s="49">
        <v>308.56</v>
      </c>
      <c r="D55" s="26">
        <v>-0.21</v>
      </c>
      <c r="E55" s="132">
        <f>C55-D55/(D56-D55)*(C56-C55)</f>
        <v>310.92495327102802</v>
      </c>
      <c r="F55" s="82"/>
      <c r="G55" s="34">
        <v>5.07</v>
      </c>
      <c r="H55" s="206">
        <v>251.19</v>
      </c>
      <c r="I55" s="23">
        <f>H55-180</f>
        <v>71.19</v>
      </c>
      <c r="J55" s="124">
        <f t="shared" si="9"/>
        <v>0.32243091178579097</v>
      </c>
      <c r="K55" s="151">
        <f t="shared" si="10"/>
        <v>0.94659299972320921</v>
      </c>
      <c r="L55" s="566">
        <f>J55+0.2*COS(RADIANS(E55))</f>
        <v>0.45344489947594002</v>
      </c>
      <c r="M55" s="380">
        <f>K55+0.2*SIN(RADIANS(E55))</f>
        <v>0.79547935034127715</v>
      </c>
      <c r="N55" s="50">
        <f>B55+(E55-C55)/(C56-C55)</f>
        <v>338.196261682243</v>
      </c>
      <c r="O55" s="388">
        <f>N55-N51</f>
        <v>27.048113534094853</v>
      </c>
      <c r="P55" s="390">
        <f>ABS(E51-E55)/(N55-N51)</f>
        <v>0.1091282536919973</v>
      </c>
      <c r="R55" s="1161"/>
      <c r="S55" s="1459" t="s">
        <v>190</v>
      </c>
      <c r="T55" s="1415"/>
      <c r="U55" s="1415"/>
      <c r="V55" s="1416"/>
      <c r="W55" s="1149"/>
      <c r="AN55" s="206">
        <f t="shared" si="28"/>
        <v>3.6000000000000032E-2</v>
      </c>
    </row>
    <row r="56" spans="1:40" ht="13.5" thickBot="1" x14ac:dyDescent="0.25">
      <c r="A56" s="41">
        <v>39786</v>
      </c>
      <c r="B56" s="42">
        <f t="shared" si="4"/>
        <v>339</v>
      </c>
      <c r="C56" s="22">
        <v>320.61</v>
      </c>
      <c r="D56" s="33">
        <v>0.86</v>
      </c>
      <c r="E56" s="133"/>
      <c r="F56" s="17"/>
      <c r="G56" s="558"/>
      <c r="H56" s="16"/>
      <c r="I56" s="22"/>
      <c r="J56" s="123">
        <f>J55</f>
        <v>0.32243091178579097</v>
      </c>
      <c r="K56" s="284">
        <f>K55</f>
        <v>0.94659299972320921</v>
      </c>
      <c r="L56" s="353">
        <f>J55</f>
        <v>0.32243091178579097</v>
      </c>
      <c r="M56" s="383">
        <f>K55</f>
        <v>0.94659299972320921</v>
      </c>
      <c r="N56" s="25"/>
      <c r="O56" s="523"/>
      <c r="P56" s="390"/>
      <c r="R56" s="1160"/>
      <c r="S56" s="1163" t="s">
        <v>10</v>
      </c>
      <c r="T56" s="1162" t="s">
        <v>11</v>
      </c>
      <c r="U56" s="1158"/>
      <c r="V56" s="1164"/>
      <c r="W56" s="1159"/>
      <c r="AN56" s="206"/>
    </row>
    <row r="57" spans="1:40" x14ac:dyDescent="0.2">
      <c r="A57" s="39">
        <v>39797</v>
      </c>
      <c r="B57" s="46">
        <f t="shared" si="4"/>
        <v>350</v>
      </c>
      <c r="C57" s="49">
        <v>116.08</v>
      </c>
      <c r="D57" s="26">
        <v>1.26</v>
      </c>
      <c r="E57" s="132"/>
      <c r="F57" s="82">
        <f>C57+D57/(-D58+D57)*(C58-C57)</f>
        <v>130.18045801526719</v>
      </c>
      <c r="G57" s="34">
        <v>5.13</v>
      </c>
      <c r="H57" s="206">
        <v>263.38</v>
      </c>
      <c r="I57" s="23">
        <f>H57-180</f>
        <v>83.38</v>
      </c>
      <c r="J57" s="124">
        <f t="shared" si="9"/>
        <v>0.11528389599264059</v>
      </c>
      <c r="K57" s="151">
        <f t="shared" si="10"/>
        <v>0.99333258444730288</v>
      </c>
      <c r="L57" s="566"/>
      <c r="M57" s="380"/>
      <c r="N57" s="127">
        <f>B57+(F57-C57)/(C58-C57)</f>
        <v>350.96183206106872</v>
      </c>
      <c r="O57" s="388"/>
      <c r="P57" s="448">
        <f>ABS(F53-F57)/(N57-N53)</f>
        <v>8.6739849106503036E-2</v>
      </c>
      <c r="R57" s="1151"/>
      <c r="S57" s="1165">
        <v>0.8</v>
      </c>
      <c r="T57" s="1157">
        <v>0</v>
      </c>
      <c r="U57" s="1151"/>
      <c r="V57" s="351"/>
      <c r="W57" s="1150"/>
      <c r="AN57" s="206">
        <f t="shared" si="28"/>
        <v>5.3999999999999916E-2</v>
      </c>
    </row>
    <row r="58" spans="1:40" ht="13.5" thickBot="1" x14ac:dyDescent="0.25">
      <c r="A58" s="41">
        <v>39798</v>
      </c>
      <c r="B58" s="42">
        <f t="shared" si="4"/>
        <v>351</v>
      </c>
      <c r="C58" s="25">
        <v>130.74</v>
      </c>
      <c r="D58" s="36">
        <v>-0.05</v>
      </c>
      <c r="E58" s="135"/>
      <c r="F58" s="17"/>
      <c r="G58" s="558"/>
      <c r="H58" s="204"/>
      <c r="I58" s="22"/>
      <c r="J58" s="123">
        <f>J57</f>
        <v>0.11528389599264059</v>
      </c>
      <c r="K58" s="284">
        <f>K57</f>
        <v>0.99333258444730288</v>
      </c>
      <c r="L58" s="567"/>
      <c r="M58" s="490"/>
      <c r="N58" s="25"/>
      <c r="O58" s="377"/>
      <c r="P58" s="449"/>
      <c r="R58" s="1153"/>
      <c r="S58" s="1166">
        <v>1.1000000000000001</v>
      </c>
      <c r="T58" s="1167">
        <v>0</v>
      </c>
      <c r="U58" s="1168"/>
      <c r="V58" s="1169"/>
      <c r="W58" s="366"/>
      <c r="AN58" s="206"/>
    </row>
    <row r="59" spans="1:40" x14ac:dyDescent="0.2">
      <c r="A59" s="39">
        <v>39812</v>
      </c>
      <c r="B59" s="46">
        <f t="shared" si="4"/>
        <v>365</v>
      </c>
      <c r="C59" s="50">
        <v>305.61</v>
      </c>
      <c r="D59" s="34">
        <v>-0.35</v>
      </c>
      <c r="E59" s="132">
        <f>C59-D59/(D60-D59)*(C60-C59)</f>
        <v>309.42818181818183</v>
      </c>
      <c r="F59" s="82"/>
      <c r="G59" s="560">
        <v>5.1950000000000003</v>
      </c>
      <c r="H59" s="207">
        <v>278.66000000000003</v>
      </c>
      <c r="I59" s="49">
        <f>H59-180</f>
        <v>98.660000000000025</v>
      </c>
      <c r="J59" s="124">
        <f t="shared" si="9"/>
        <v>-0.15057068452350811</v>
      </c>
      <c r="K59" s="151">
        <f t="shared" si="10"/>
        <v>0.98859924588385262</v>
      </c>
      <c r="L59" s="566">
        <f>J59+0.2*COS(RADIANS(E59))</f>
        <v>-2.35485810426172E-2</v>
      </c>
      <c r="M59" s="380">
        <f>K59+0.2*SIN(RADIANS(E59))</f>
        <v>0.83411499028707714</v>
      </c>
      <c r="N59" s="50">
        <f>B59+(E59-C59)/(C60-C59)</f>
        <v>365.31818181818181</v>
      </c>
      <c r="O59" s="388">
        <f>N59-N55</f>
        <v>27.121920135938808</v>
      </c>
      <c r="P59" s="390">
        <f>ABS(E55-E59)/(N59-N55)</f>
        <v>5.5186780483983601E-2</v>
      </c>
      <c r="R59" s="1152"/>
      <c r="S59" s="740"/>
      <c r="T59" s="740"/>
      <c r="U59" s="1152"/>
      <c r="V59" s="1150"/>
      <c r="W59" s="1150"/>
      <c r="AN59" s="206">
        <f t="shared" si="28"/>
        <v>7.3500000000000024E-2</v>
      </c>
    </row>
    <row r="60" spans="1:40" ht="13.5" thickBot="1" x14ac:dyDescent="0.25">
      <c r="A60" s="47">
        <v>39813</v>
      </c>
      <c r="B60" s="48">
        <f t="shared" si="4"/>
        <v>366</v>
      </c>
      <c r="C60" s="51">
        <v>317.61</v>
      </c>
      <c r="D60" s="52">
        <v>0.75</v>
      </c>
      <c r="E60" s="136"/>
      <c r="F60" s="129"/>
      <c r="G60" s="561"/>
      <c r="H60" s="208"/>
      <c r="I60" s="212"/>
      <c r="J60" s="213">
        <f>J59</f>
        <v>-0.15057068452350811</v>
      </c>
      <c r="K60" s="565">
        <f>K59</f>
        <v>0.98859924588385262</v>
      </c>
      <c r="L60" s="215">
        <f>J59</f>
        <v>-0.15057068452350811</v>
      </c>
      <c r="M60" s="64">
        <f>K59</f>
        <v>0.98859924588385262</v>
      </c>
      <c r="N60" s="212"/>
      <c r="O60" s="524"/>
      <c r="P60" s="391"/>
      <c r="AN60" s="268"/>
    </row>
    <row r="61" spans="1:40" ht="13.5" thickBot="1" x14ac:dyDescent="0.25">
      <c r="A61" s="65"/>
      <c r="B61" s="66"/>
      <c r="C61" s="32"/>
      <c r="D61" s="32"/>
      <c r="E61" s="32"/>
      <c r="F61" s="32"/>
      <c r="G61" s="32"/>
      <c r="H61" s="32"/>
      <c r="I61" s="61"/>
      <c r="J61" s="62"/>
      <c r="K61" s="63"/>
      <c r="L61" s="63"/>
      <c r="N61" s="525" t="s">
        <v>29</v>
      </c>
      <c r="O61" s="526">
        <f>AVERAGE(O11:O59)</f>
        <v>27.206763824410878</v>
      </c>
    </row>
    <row r="62" spans="1:40" ht="13.5" thickBot="1" x14ac:dyDescent="0.25">
      <c r="A62" s="3"/>
      <c r="B62" s="3"/>
      <c r="H62" s="1454" t="s">
        <v>137</v>
      </c>
      <c r="I62" s="1455"/>
      <c r="J62" s="1455"/>
      <c r="K62" s="1455"/>
      <c r="L62" s="1455"/>
      <c r="M62" s="1456"/>
      <c r="N62" s="3"/>
      <c r="O62" s="284"/>
    </row>
    <row r="63" spans="1:40" x14ac:dyDescent="0.2">
      <c r="A63" s="252">
        <v>39661</v>
      </c>
      <c r="B63" s="1472" t="s">
        <v>60</v>
      </c>
      <c r="C63" s="1472"/>
      <c r="D63" s="1473"/>
      <c r="H63" s="219" t="s">
        <v>3</v>
      </c>
      <c r="I63" s="247" t="s">
        <v>10</v>
      </c>
      <c r="J63" s="248" t="s">
        <v>11</v>
      </c>
      <c r="K63" s="249" t="s">
        <v>3</v>
      </c>
      <c r="L63" s="228" t="s">
        <v>10</v>
      </c>
      <c r="M63" s="229" t="s">
        <v>11</v>
      </c>
      <c r="P63" s="172"/>
    </row>
    <row r="64" spans="1:40" x14ac:dyDescent="0.2">
      <c r="A64" s="253">
        <f>A63+177</f>
        <v>39838</v>
      </c>
      <c r="B64" s="1474" t="s">
        <v>61</v>
      </c>
      <c r="C64" s="1474"/>
      <c r="D64" s="1475"/>
      <c r="E64" s="217"/>
      <c r="F64" s="173"/>
      <c r="G64" s="173"/>
      <c r="H64" s="446" t="s">
        <v>110</v>
      </c>
      <c r="I64" s="220">
        <f>COS(RADIANS(58.39-180))</f>
        <v>-0.52413455238184969</v>
      </c>
      <c r="J64" s="221">
        <f>SIN(RADIANS(58.39-180))</f>
        <v>-0.85163546837803683</v>
      </c>
      <c r="K64" s="447" t="s">
        <v>112</v>
      </c>
      <c r="L64" s="230">
        <f>COS(RADIANS(324.66-180))</f>
        <v>-0.81573397049902774</v>
      </c>
      <c r="M64" s="231">
        <f>SIN(RADIANS(324.66-180))</f>
        <v>0.57842725504067616</v>
      </c>
    </row>
    <row r="65" spans="1:13" x14ac:dyDescent="0.2">
      <c r="A65" s="254">
        <v>39839</v>
      </c>
      <c r="B65" s="1462" t="s">
        <v>62</v>
      </c>
      <c r="C65" s="1462"/>
      <c r="D65" s="1463"/>
      <c r="E65" s="217"/>
      <c r="F65" s="173"/>
      <c r="G65" s="173"/>
      <c r="H65" s="222"/>
      <c r="I65" s="223">
        <v>0</v>
      </c>
      <c r="J65" s="224">
        <v>0</v>
      </c>
      <c r="K65" s="232"/>
      <c r="L65" s="233">
        <v>0</v>
      </c>
      <c r="M65" s="234">
        <v>0</v>
      </c>
    </row>
    <row r="66" spans="1:13" ht="13.5" thickBot="1" x14ac:dyDescent="0.25">
      <c r="E66" s="2"/>
      <c r="F66" s="2"/>
      <c r="G66" s="2"/>
      <c r="H66" s="225" t="s">
        <v>49</v>
      </c>
      <c r="I66" s="226">
        <f>COS(RADIANS(216.93-180))</f>
        <v>0.79937016958758789</v>
      </c>
      <c r="J66" s="227">
        <f>SIN(RADIANS(216.93-180))</f>
        <v>0.60083885691049554</v>
      </c>
      <c r="K66" s="235" t="s">
        <v>48</v>
      </c>
      <c r="L66" s="236">
        <f>COS(RADIANS(136.78-180))</f>
        <v>0.72872963099728705</v>
      </c>
      <c r="M66" s="237">
        <f>SIN(RADIANS(136.78-180))</f>
        <v>-0.6848015222723719</v>
      </c>
    </row>
    <row r="78" spans="1:13" x14ac:dyDescent="0.2">
      <c r="I78" s="2"/>
      <c r="J78" s="2"/>
      <c r="K78" s="2"/>
      <c r="L78" s="2"/>
      <c r="M78" s="2"/>
    </row>
    <row r="80" spans="1:13" ht="15.75" x14ac:dyDescent="0.25">
      <c r="C80" s="1"/>
      <c r="D80" s="1"/>
      <c r="E80" s="1"/>
      <c r="F80" s="1"/>
      <c r="G80" s="1"/>
      <c r="H80" s="2"/>
    </row>
    <row r="89" spans="1:16" x14ac:dyDescent="0.2">
      <c r="N89" s="345"/>
    </row>
    <row r="90" spans="1:16" x14ac:dyDescent="0.2">
      <c r="N90" s="345"/>
    </row>
    <row r="91" spans="1:16" x14ac:dyDescent="0.2">
      <c r="N91" s="345"/>
    </row>
    <row r="92" spans="1:16" x14ac:dyDescent="0.2">
      <c r="O92" s="3"/>
      <c r="P92" s="3"/>
    </row>
    <row r="93" spans="1:16" x14ac:dyDescent="0.2">
      <c r="O93" s="3"/>
      <c r="P93" s="3"/>
    </row>
    <row r="94" spans="1:16" x14ac:dyDescent="0.2">
      <c r="A94" s="3"/>
      <c r="B94" s="3"/>
      <c r="C94" s="3"/>
      <c r="D94" s="3"/>
      <c r="E94" s="3"/>
      <c r="F94" s="1476"/>
      <c r="G94" s="1476"/>
      <c r="H94" s="1476"/>
      <c r="I94" s="1476"/>
      <c r="J94" s="3"/>
      <c r="K94" s="3"/>
      <c r="L94" s="3"/>
      <c r="M94" s="3"/>
      <c r="N94" s="3"/>
      <c r="O94" s="3"/>
    </row>
    <row r="95" spans="1:16" x14ac:dyDescent="0.2">
      <c r="A95" s="252">
        <v>39676</v>
      </c>
      <c r="B95" s="1472" t="s">
        <v>63</v>
      </c>
      <c r="C95" s="1472"/>
      <c r="D95" s="1473"/>
      <c r="F95" s="660"/>
      <c r="G95" s="660"/>
      <c r="H95" s="1158"/>
      <c r="I95" s="660"/>
    </row>
    <row r="96" spans="1:16" x14ac:dyDescent="0.2">
      <c r="A96" s="253">
        <f>A95+177</f>
        <v>39853</v>
      </c>
      <c r="B96" s="1477" t="s">
        <v>113</v>
      </c>
      <c r="C96" s="1474"/>
      <c r="D96" s="1475"/>
      <c r="F96" s="740"/>
      <c r="G96" s="740"/>
      <c r="H96" s="1154"/>
      <c r="I96" s="1155"/>
    </row>
    <row r="97" spans="1:15" x14ac:dyDescent="0.2">
      <c r="A97" s="254">
        <v>39853</v>
      </c>
      <c r="B97" s="1462" t="s">
        <v>64</v>
      </c>
      <c r="C97" s="1462"/>
      <c r="D97" s="1463"/>
      <c r="F97" s="740"/>
      <c r="G97" s="740"/>
      <c r="H97" s="1156"/>
      <c r="I97" s="366"/>
    </row>
    <row r="98" spans="1:15" ht="13.5" thickBot="1" x14ac:dyDescent="0.25"/>
    <row r="99" spans="1:15" ht="15" x14ac:dyDescent="0.25">
      <c r="A99" s="743" t="s">
        <v>15</v>
      </c>
      <c r="B99" s="1414" t="s">
        <v>141</v>
      </c>
      <c r="C99" s="1352"/>
      <c r="D99" s="1352"/>
      <c r="E99" s="1352"/>
      <c r="F99" s="1352"/>
      <c r="G99" s="1352"/>
      <c r="H99" s="1352"/>
      <c r="I99" s="1352"/>
      <c r="J99" s="1352"/>
      <c r="K99" s="1352"/>
      <c r="L99" s="1352"/>
      <c r="M99" s="1415"/>
      <c r="N99" s="1415"/>
      <c r="O99" s="1416"/>
    </row>
    <row r="100" spans="1:15" ht="16.5" thickBot="1" x14ac:dyDescent="0.3">
      <c r="A100" s="140"/>
      <c r="B100" s="1470" t="s">
        <v>138</v>
      </c>
      <c r="C100" s="1471"/>
      <c r="D100" s="1471"/>
      <c r="E100" s="1471"/>
      <c r="F100" s="690"/>
      <c r="G100" s="744"/>
      <c r="H100" s="744"/>
      <c r="I100" s="744"/>
      <c r="J100" s="744"/>
      <c r="K100" s="689"/>
      <c r="L100" s="689"/>
      <c r="M100" s="689"/>
      <c r="N100" s="689"/>
      <c r="O100" s="745"/>
    </row>
    <row r="101" spans="1:15" x14ac:dyDescent="0.2">
      <c r="A101" s="29" t="s">
        <v>37</v>
      </c>
      <c r="B101" s="108" t="s">
        <v>5</v>
      </c>
      <c r="C101" s="1382" t="s">
        <v>58</v>
      </c>
      <c r="D101" s="1383"/>
      <c r="E101" s="1383"/>
      <c r="F101" s="1383"/>
      <c r="G101" s="1384"/>
      <c r="H101" s="263" t="s">
        <v>26</v>
      </c>
      <c r="I101" s="1419" t="s">
        <v>59</v>
      </c>
      <c r="J101" s="1383"/>
      <c r="K101" s="1383"/>
      <c r="L101" s="1382" t="s">
        <v>50</v>
      </c>
      <c r="M101" s="1383"/>
      <c r="N101" s="162" t="s">
        <v>30</v>
      </c>
      <c r="O101" s="141" t="s">
        <v>31</v>
      </c>
    </row>
    <row r="102" spans="1:15" ht="15.75" x14ac:dyDescent="0.3">
      <c r="A102" s="144" t="s">
        <v>38</v>
      </c>
      <c r="B102" s="255" t="s">
        <v>65</v>
      </c>
      <c r="C102" s="121" t="s">
        <v>67</v>
      </c>
      <c r="D102" s="256" t="s">
        <v>68</v>
      </c>
      <c r="E102" s="1468" t="s">
        <v>69</v>
      </c>
      <c r="F102" s="1469"/>
      <c r="G102" s="196" t="s">
        <v>44</v>
      </c>
      <c r="H102" s="137" t="s">
        <v>53</v>
      </c>
      <c r="I102" s="242" t="s">
        <v>52</v>
      </c>
      <c r="J102" s="149" t="s">
        <v>54</v>
      </c>
      <c r="K102" s="147" t="s">
        <v>55</v>
      </c>
      <c r="L102" s="1420" t="s">
        <v>51</v>
      </c>
      <c r="M102" s="1421"/>
      <c r="N102" s="161" t="s">
        <v>32</v>
      </c>
      <c r="O102" s="142" t="s">
        <v>33</v>
      </c>
    </row>
    <row r="103" spans="1:15" ht="15" x14ac:dyDescent="0.3">
      <c r="A103" s="144" t="s">
        <v>39</v>
      </c>
      <c r="B103" s="257" t="s">
        <v>66</v>
      </c>
      <c r="C103" s="146" t="s">
        <v>40</v>
      </c>
      <c r="D103" s="261" t="s">
        <v>40</v>
      </c>
      <c r="E103" s="245" t="s">
        <v>41</v>
      </c>
      <c r="F103" s="109"/>
      <c r="G103" s="243" t="s">
        <v>45</v>
      </c>
      <c r="H103" s="148" t="s">
        <v>9</v>
      </c>
      <c r="I103" s="148" t="s">
        <v>9</v>
      </c>
      <c r="J103" s="1466" t="s">
        <v>47</v>
      </c>
      <c r="K103" s="1467"/>
      <c r="L103" s="150" t="s">
        <v>56</v>
      </c>
      <c r="M103" s="147" t="s">
        <v>57</v>
      </c>
      <c r="N103" s="156" t="s">
        <v>34</v>
      </c>
      <c r="O103" s="143" t="s">
        <v>35</v>
      </c>
    </row>
    <row r="104" spans="1:15" ht="13.5" thickBot="1" x14ac:dyDescent="0.25">
      <c r="A104" s="507" t="s">
        <v>123</v>
      </c>
      <c r="B104" s="145"/>
      <c r="C104" s="157" t="s">
        <v>9</v>
      </c>
      <c r="D104" s="130" t="s">
        <v>9</v>
      </c>
      <c r="E104" s="131" t="s">
        <v>42</v>
      </c>
      <c r="F104" s="131"/>
      <c r="G104" s="244" t="s">
        <v>121</v>
      </c>
      <c r="H104" s="130"/>
      <c r="I104" s="122"/>
      <c r="J104" s="506"/>
      <c r="K104" s="145"/>
      <c r="L104" s="1417" t="s">
        <v>46</v>
      </c>
      <c r="M104" s="1418"/>
      <c r="N104" s="157" t="s">
        <v>36</v>
      </c>
      <c r="O104" s="11"/>
    </row>
    <row r="105" spans="1:15" x14ac:dyDescent="0.2">
      <c r="A105" s="39">
        <v>39839</v>
      </c>
      <c r="B105" s="46">
        <v>26</v>
      </c>
      <c r="C105" s="12">
        <v>302.52</v>
      </c>
      <c r="D105" s="259">
        <v>-0.62</v>
      </c>
      <c r="E105" s="82">
        <f>C105-D105/(D106-D105)*(C106-C105)</f>
        <v>309.26180180180177</v>
      </c>
      <c r="F105" s="82"/>
      <c r="G105" s="197">
        <v>5.28</v>
      </c>
      <c r="H105" s="200"/>
      <c r="I105" s="209"/>
      <c r="J105" s="210"/>
      <c r="K105" s="211"/>
      <c r="L105" s="123">
        <f>J105+0.2*COS(RADIANS(E105))</f>
        <v>0.12657296495353396</v>
      </c>
      <c r="M105" s="154">
        <f>K105+0.2*SIN(RADIANS(E105))</f>
        <v>-0.15485246056447238</v>
      </c>
      <c r="N105" s="158">
        <f>B105+(E105-C105)/(C106-C105)</f>
        <v>26.558558558558559</v>
      </c>
      <c r="O105" s="238"/>
    </row>
    <row r="106" spans="1:15" x14ac:dyDescent="0.2">
      <c r="A106" s="41">
        <f>A105+1</f>
        <v>39840</v>
      </c>
      <c r="B106" s="42">
        <f>B105+A106-A105</f>
        <v>27</v>
      </c>
      <c r="C106" s="22">
        <v>314.58999999999997</v>
      </c>
      <c r="D106" s="33">
        <v>0.49</v>
      </c>
      <c r="E106" s="17"/>
      <c r="F106" s="1412" t="s">
        <v>80</v>
      </c>
      <c r="G106" s="1413"/>
      <c r="H106" s="16"/>
      <c r="I106" s="22"/>
      <c r="J106" s="123"/>
      <c r="K106" s="53"/>
      <c r="L106" s="123">
        <f>J105</f>
        <v>0</v>
      </c>
      <c r="M106" s="154">
        <f>K105</f>
        <v>0</v>
      </c>
      <c r="N106" s="159"/>
      <c r="O106" s="239"/>
    </row>
    <row r="107" spans="1:15" x14ac:dyDescent="0.2">
      <c r="A107" s="43">
        <v>39866</v>
      </c>
      <c r="B107" s="40">
        <f t="shared" ref="B107:B130" si="29">B106+A107-A106</f>
        <v>53</v>
      </c>
      <c r="C107" s="23">
        <v>298.94</v>
      </c>
      <c r="D107" s="69">
        <v>-0.94</v>
      </c>
      <c r="E107" s="82">
        <f>C107-D107/(D108-D107)*(C108-C107)</f>
        <v>309.25436363636362</v>
      </c>
      <c r="F107" s="18"/>
      <c r="G107" s="199">
        <v>5.24</v>
      </c>
      <c r="H107" s="201"/>
      <c r="I107" s="23"/>
      <c r="J107" s="124"/>
      <c r="K107" s="54"/>
      <c r="L107" s="124"/>
      <c r="M107" s="151"/>
      <c r="N107" s="158">
        <f>B107+(E107-C107)/(C108-C107)</f>
        <v>53.854545454545452</v>
      </c>
      <c r="O107" s="186">
        <f>N107-N105</f>
        <v>27.295986895986893</v>
      </c>
    </row>
    <row r="108" spans="1:15" x14ac:dyDescent="0.2">
      <c r="A108" s="45">
        <f>A107+1</f>
        <v>39867</v>
      </c>
      <c r="B108" s="42">
        <f t="shared" si="29"/>
        <v>54</v>
      </c>
      <c r="C108" s="22">
        <v>311.01</v>
      </c>
      <c r="D108" s="33">
        <v>0.16</v>
      </c>
      <c r="E108" s="133"/>
      <c r="F108" s="120"/>
      <c r="G108" s="198"/>
      <c r="H108" s="16"/>
      <c r="I108" s="22"/>
      <c r="J108" s="125"/>
      <c r="K108" s="55"/>
      <c r="L108" s="125"/>
      <c r="M108" s="152"/>
      <c r="N108" s="159"/>
      <c r="O108" s="240"/>
    </row>
    <row r="109" spans="1:15" x14ac:dyDescent="0.2">
      <c r="A109" s="165">
        <v>39894</v>
      </c>
      <c r="B109" s="269">
        <f t="shared" si="29"/>
        <v>81</v>
      </c>
      <c r="C109" s="270">
        <v>306.94</v>
      </c>
      <c r="D109" s="271">
        <v>-0.1</v>
      </c>
      <c r="E109" s="164">
        <f>C109-D109/(D110-D109)*(C110-C109)</f>
        <v>308.05467889908255</v>
      </c>
      <c r="F109" s="164"/>
      <c r="G109" s="272">
        <v>5.0999999999999996</v>
      </c>
      <c r="H109" s="205"/>
      <c r="I109" s="183"/>
      <c r="J109" s="185"/>
      <c r="K109" s="186"/>
      <c r="L109" s="185">
        <f>J109+0.2*COS(RADIANS(E109))</f>
        <v>0.12328264293095177</v>
      </c>
      <c r="M109" s="187">
        <f>K109+0.2*SIN(RADIANS(E109))</f>
        <v>-0.15748457052028764</v>
      </c>
      <c r="N109" s="191">
        <f>B109+(E109-C109)/(C110-C109)</f>
        <v>81.091743119266056</v>
      </c>
      <c r="O109" s="186">
        <f>N109-N107</f>
        <v>27.237197664720604</v>
      </c>
    </row>
    <row r="110" spans="1:15" x14ac:dyDescent="0.2">
      <c r="A110" s="192">
        <v>39895</v>
      </c>
      <c r="B110" s="175">
        <f t="shared" si="29"/>
        <v>82</v>
      </c>
      <c r="C110" s="176">
        <v>319.08999999999997</v>
      </c>
      <c r="D110" s="168">
        <v>0.99</v>
      </c>
      <c r="E110" s="177"/>
      <c r="F110" s="120"/>
      <c r="G110" s="285"/>
      <c r="H110" s="275"/>
      <c r="I110" s="176"/>
      <c r="J110" s="178"/>
      <c r="K110" s="179"/>
      <c r="L110" s="189">
        <f>J109</f>
        <v>0</v>
      </c>
      <c r="M110" s="190">
        <f>K109</f>
        <v>0</v>
      </c>
      <c r="N110" s="273"/>
      <c r="O110" s="240"/>
    </row>
    <row r="111" spans="1:15" x14ac:dyDescent="0.2">
      <c r="A111" s="181">
        <v>39921</v>
      </c>
      <c r="B111" s="182">
        <f t="shared" si="29"/>
        <v>108</v>
      </c>
      <c r="C111" s="183">
        <v>302.81</v>
      </c>
      <c r="D111" s="163">
        <v>-0.23</v>
      </c>
      <c r="E111" s="82">
        <f>C111-D111/(D112-D111)*(C112-C111)</f>
        <v>305.42980952380952</v>
      </c>
      <c r="F111" s="164"/>
      <c r="G111" s="274">
        <v>5</v>
      </c>
      <c r="H111" s="205"/>
      <c r="I111" s="183"/>
      <c r="J111" s="185"/>
      <c r="K111" s="186"/>
      <c r="L111" s="185"/>
      <c r="M111" s="187"/>
      <c r="N111" s="158">
        <f>B111+(E111-C111)/(C112-C111)</f>
        <v>108.21904761904761</v>
      </c>
      <c r="O111" s="186">
        <f>N111-N109</f>
        <v>27.127304499781559</v>
      </c>
    </row>
    <row r="112" spans="1:15" x14ac:dyDescent="0.2">
      <c r="A112" s="174">
        <f>A111+1</f>
        <v>39922</v>
      </c>
      <c r="B112" s="175">
        <f t="shared" si="29"/>
        <v>109</v>
      </c>
      <c r="C112" s="176">
        <v>314.77</v>
      </c>
      <c r="D112" s="169">
        <v>0.82</v>
      </c>
      <c r="E112" s="177"/>
      <c r="F112" s="1412" t="s">
        <v>81</v>
      </c>
      <c r="G112" s="1413"/>
      <c r="H112" s="202"/>
      <c r="I112" s="176"/>
      <c r="J112" s="178"/>
      <c r="K112" s="179"/>
      <c r="L112" s="178"/>
      <c r="M112" s="180"/>
      <c r="N112" s="276"/>
      <c r="O112" s="240"/>
    </row>
    <row r="113" spans="1:24" x14ac:dyDescent="0.2">
      <c r="A113" s="181">
        <v>39948</v>
      </c>
      <c r="B113" s="182">
        <f t="shared" si="29"/>
        <v>135</v>
      </c>
      <c r="C113" s="277">
        <v>299</v>
      </c>
      <c r="D113" s="167">
        <v>-0.31</v>
      </c>
      <c r="E113" s="278">
        <f>C113-D113/(D114-D113)*(C114-C113)</f>
        <v>302.49266666666665</v>
      </c>
      <c r="F113" s="164"/>
      <c r="G113" s="272">
        <v>5.03</v>
      </c>
      <c r="H113" s="205"/>
      <c r="I113" s="195"/>
      <c r="J113" s="185"/>
      <c r="K113" s="186"/>
      <c r="L113" s="185">
        <f>J113+0.2*COS(RADIANS(E113))</f>
        <v>0.10743833151807328</v>
      </c>
      <c r="M113" s="187">
        <f>K113+0.2*SIN(RADIANS(E113))</f>
        <v>-0.16869204166353724</v>
      </c>
      <c r="N113" s="191">
        <f>B113+(E113-C113)/(C114-C113)</f>
        <v>135.29523809523809</v>
      </c>
      <c r="O113" s="186">
        <f>N113-N111</f>
        <v>27.076190476190476</v>
      </c>
    </row>
    <row r="114" spans="1:24" x14ac:dyDescent="0.2">
      <c r="A114" s="174">
        <f>A113+1</f>
        <v>39949</v>
      </c>
      <c r="B114" s="175">
        <f t="shared" si="29"/>
        <v>136</v>
      </c>
      <c r="C114" s="176">
        <v>310.83</v>
      </c>
      <c r="D114" s="279">
        <v>0.74</v>
      </c>
      <c r="E114" s="177"/>
      <c r="F114" s="169"/>
      <c r="G114" s="275"/>
      <c r="H114" s="202"/>
      <c r="I114" s="176"/>
      <c r="J114" s="178"/>
      <c r="K114" s="179"/>
      <c r="L114" s="189">
        <f>J113</f>
        <v>0</v>
      </c>
      <c r="M114" s="190">
        <f>K113</f>
        <v>0</v>
      </c>
      <c r="N114" s="276"/>
      <c r="O114" s="240"/>
    </row>
    <row r="115" spans="1:24" x14ac:dyDescent="0.2">
      <c r="A115" s="43">
        <v>39975</v>
      </c>
      <c r="B115" s="40">
        <f t="shared" si="29"/>
        <v>162</v>
      </c>
      <c r="C115" s="23">
        <v>295.64</v>
      </c>
      <c r="D115" s="69">
        <v>-0.46</v>
      </c>
      <c r="E115" s="82">
        <f>C115-D115/(D116-D115)*(C116-C115)</f>
        <v>300.7085981308411</v>
      </c>
      <c r="F115" s="18"/>
      <c r="G115" s="199">
        <v>5.15</v>
      </c>
      <c r="H115" s="203"/>
      <c r="I115" s="49"/>
      <c r="J115" s="124"/>
      <c r="K115" s="54"/>
      <c r="L115" s="124"/>
      <c r="M115" s="151"/>
      <c r="N115" s="158">
        <f>B115+(E115-C115)/(C116-C115)</f>
        <v>162.42990654205607</v>
      </c>
      <c r="O115" s="186">
        <f>N115-N113</f>
        <v>27.134668446817983</v>
      </c>
    </row>
    <row r="116" spans="1:24" x14ac:dyDescent="0.2">
      <c r="A116" s="41">
        <f>A115+1</f>
        <v>39976</v>
      </c>
      <c r="B116" s="42">
        <f t="shared" si="29"/>
        <v>163</v>
      </c>
      <c r="C116" s="22">
        <v>307.43</v>
      </c>
      <c r="D116" s="33">
        <v>0.61</v>
      </c>
      <c r="E116" s="133"/>
      <c r="F116" s="17"/>
      <c r="G116" s="198"/>
      <c r="H116" s="204"/>
      <c r="I116" s="49"/>
      <c r="J116" s="125"/>
      <c r="K116" s="55"/>
      <c r="L116" s="125"/>
      <c r="M116" s="152"/>
      <c r="N116" s="22"/>
      <c r="O116" s="240"/>
    </row>
    <row r="117" spans="1:24" x14ac:dyDescent="0.2">
      <c r="A117" s="43">
        <v>40002</v>
      </c>
      <c r="B117" s="40">
        <f t="shared" si="29"/>
        <v>189</v>
      </c>
      <c r="C117" s="23">
        <v>292.60000000000002</v>
      </c>
      <c r="D117" s="69">
        <v>-0.7</v>
      </c>
      <c r="E117" s="18">
        <f>C117-D117/(D118-D117)*(C118-C117)</f>
        <v>300.17155963302753</v>
      </c>
      <c r="F117" s="18"/>
      <c r="G117" s="197">
        <v>5.28</v>
      </c>
      <c r="H117" s="203"/>
      <c r="I117" s="23"/>
      <c r="J117" s="124"/>
      <c r="K117" s="54"/>
      <c r="L117" s="124">
        <f>J117+0.2*COS(RADIANS(E117))</f>
        <v>0.10051817552844416</v>
      </c>
      <c r="M117" s="151">
        <f>K117+0.2*SIN(RADIANS(E117))</f>
        <v>-0.17290487670517826</v>
      </c>
      <c r="N117" s="158">
        <f>B117+(E117-C117)/(C118-C117)</f>
        <v>189.64220183486239</v>
      </c>
      <c r="O117" s="186">
        <f>N117-N115</f>
        <v>27.212295292806317</v>
      </c>
    </row>
    <row r="118" spans="1:24" x14ac:dyDescent="0.2">
      <c r="A118" s="41">
        <f>A117+1</f>
        <v>40003</v>
      </c>
      <c r="B118" s="42">
        <f t="shared" si="29"/>
        <v>190</v>
      </c>
      <c r="C118" s="22">
        <v>304.39</v>
      </c>
      <c r="D118" s="33">
        <v>0.39</v>
      </c>
      <c r="E118" s="133"/>
      <c r="F118" s="1412" t="s">
        <v>82</v>
      </c>
      <c r="G118" s="1413"/>
      <c r="H118" s="204"/>
      <c r="I118" s="22"/>
      <c r="J118" s="125"/>
      <c r="K118" s="55"/>
      <c r="L118" s="123">
        <f>J117</f>
        <v>0</v>
      </c>
      <c r="M118" s="154">
        <f>K117</f>
        <v>0</v>
      </c>
      <c r="N118" s="159"/>
      <c r="O118" s="240"/>
      <c r="Q118" s="68"/>
      <c r="R118" s="260"/>
      <c r="S118" s="260"/>
      <c r="T118" s="216"/>
      <c r="U118" s="216"/>
      <c r="V118" s="262"/>
      <c r="W118" s="260"/>
      <c r="X118" s="260"/>
    </row>
    <row r="119" spans="1:24" x14ac:dyDescent="0.2">
      <c r="A119" s="43">
        <v>40029</v>
      </c>
      <c r="B119" s="40">
        <f t="shared" si="29"/>
        <v>216</v>
      </c>
      <c r="C119" s="23">
        <v>289.61</v>
      </c>
      <c r="D119" s="69">
        <v>-0.98</v>
      </c>
      <c r="E119" s="82">
        <f>C119-D119/(D120-D119)*(C120-C119)</f>
        <v>300.21917431192662</v>
      </c>
      <c r="F119" s="18"/>
      <c r="G119" s="199">
        <v>5.25</v>
      </c>
      <c r="H119" s="203"/>
      <c r="I119" s="49"/>
      <c r="J119" s="124"/>
      <c r="K119" s="54"/>
      <c r="L119" s="124"/>
      <c r="M119" s="151"/>
      <c r="N119" s="158">
        <f>B119+(E119-C119)/(C120-C119)</f>
        <v>216.89908256880733</v>
      </c>
      <c r="O119" s="186">
        <f>N119-N117</f>
        <v>27.256880733944939</v>
      </c>
    </row>
    <row r="120" spans="1:24" x14ac:dyDescent="0.2">
      <c r="A120" s="41">
        <f>A119+1</f>
        <v>40030</v>
      </c>
      <c r="B120" s="42">
        <f t="shared" si="29"/>
        <v>217</v>
      </c>
      <c r="C120" s="22">
        <v>301.41000000000003</v>
      </c>
      <c r="D120" s="33">
        <v>0.11</v>
      </c>
      <c r="E120" s="133"/>
      <c r="F120" s="17"/>
      <c r="G120" s="198"/>
      <c r="H120" s="204"/>
      <c r="I120" s="49"/>
      <c r="J120" s="125"/>
      <c r="K120" s="55"/>
      <c r="L120" s="125"/>
      <c r="M120" s="152"/>
      <c r="N120" s="22"/>
      <c r="O120" s="240"/>
    </row>
    <row r="121" spans="1:24" x14ac:dyDescent="0.2">
      <c r="A121" s="43">
        <v>40057</v>
      </c>
      <c r="B121" s="40">
        <f t="shared" si="29"/>
        <v>244</v>
      </c>
      <c r="C121" s="23">
        <v>298.17</v>
      </c>
      <c r="D121" s="69">
        <v>-0.15</v>
      </c>
      <c r="E121" s="18">
        <f>C121-D121/(D122-D121)*(C122-C121)</f>
        <v>299.82981308411217</v>
      </c>
      <c r="F121" s="18"/>
      <c r="G121" s="199">
        <v>5.15</v>
      </c>
      <c r="H121" s="201"/>
      <c r="I121" s="23"/>
      <c r="J121" s="124"/>
      <c r="K121" s="54"/>
      <c r="L121" s="124">
        <f>J121+0.2*COS(RADIANS(E121))</f>
        <v>9.9485084749799058E-2</v>
      </c>
      <c r="M121" s="151">
        <f>K121+0.2*SIN(RADIANS(E121))</f>
        <v>-0.1735013484452651</v>
      </c>
      <c r="N121" s="158">
        <f>B121+(E121-C121)/(C122-C121)</f>
        <v>244.14018691588785</v>
      </c>
      <c r="O121" s="186">
        <f>N121-N119</f>
        <v>27.241104347080523</v>
      </c>
    </row>
    <row r="122" spans="1:24" x14ac:dyDescent="0.2">
      <c r="A122" s="41">
        <f>A121+1</f>
        <v>40058</v>
      </c>
      <c r="B122" s="42">
        <f t="shared" si="29"/>
        <v>245</v>
      </c>
      <c r="C122" s="22">
        <v>310.01</v>
      </c>
      <c r="D122" s="33">
        <v>0.92</v>
      </c>
      <c r="E122" s="133"/>
      <c r="F122" s="17"/>
      <c r="G122" s="198"/>
      <c r="H122" s="16"/>
      <c r="I122" s="22"/>
      <c r="J122" s="125"/>
      <c r="K122" s="55"/>
      <c r="L122" s="123">
        <f>J121</f>
        <v>0</v>
      </c>
      <c r="M122" s="154">
        <f>K121</f>
        <v>0</v>
      </c>
      <c r="N122" s="159"/>
      <c r="O122" s="240"/>
    </row>
    <row r="123" spans="1:24" x14ac:dyDescent="0.2">
      <c r="A123" s="181">
        <v>40084</v>
      </c>
      <c r="B123" s="182">
        <f t="shared" si="29"/>
        <v>271</v>
      </c>
      <c r="C123" s="183">
        <v>294.54000000000002</v>
      </c>
      <c r="D123" s="163">
        <v>-0.3</v>
      </c>
      <c r="E123" s="82">
        <f>C123-D123/(D124-D123)*(C124-C123)</f>
        <v>297.91142857142859</v>
      </c>
      <c r="F123" s="164"/>
      <c r="G123" s="280">
        <v>5.04</v>
      </c>
      <c r="H123" s="205"/>
      <c r="I123" s="195"/>
      <c r="J123" s="124"/>
      <c r="K123" s="54"/>
      <c r="L123" s="124"/>
      <c r="M123" s="151"/>
      <c r="N123" s="158">
        <f>B123+(E123-C123)/(C124-C123)</f>
        <v>271.28571428571428</v>
      </c>
      <c r="O123" s="186">
        <f>N123-N121</f>
        <v>27.145527369826425</v>
      </c>
    </row>
    <row r="124" spans="1:24" x14ac:dyDescent="0.2">
      <c r="A124" s="174">
        <f>A123+1</f>
        <v>40085</v>
      </c>
      <c r="B124" s="175">
        <f t="shared" si="29"/>
        <v>272</v>
      </c>
      <c r="C124" s="176">
        <v>306.33999999999997</v>
      </c>
      <c r="D124" s="168">
        <v>0.75</v>
      </c>
      <c r="E124" s="177"/>
      <c r="F124" s="1412" t="s">
        <v>83</v>
      </c>
      <c r="G124" s="1413"/>
      <c r="H124" s="202"/>
      <c r="I124" s="49"/>
      <c r="J124" s="125"/>
      <c r="K124" s="55"/>
      <c r="L124" s="125"/>
      <c r="M124" s="152"/>
      <c r="N124" s="22"/>
      <c r="O124" s="240"/>
    </row>
    <row r="125" spans="1:24" x14ac:dyDescent="0.2">
      <c r="A125" s="43">
        <v>40111</v>
      </c>
      <c r="B125" s="40">
        <f t="shared" si="29"/>
        <v>298</v>
      </c>
      <c r="C125" s="23">
        <v>290.58</v>
      </c>
      <c r="D125" s="69">
        <v>-0.39</v>
      </c>
      <c r="E125" s="18">
        <f>C125-D125/(D126-D125)*(C126-C125)</f>
        <v>294.9665714285714</v>
      </c>
      <c r="F125" s="128"/>
      <c r="G125" s="199">
        <v>4.99</v>
      </c>
      <c r="H125" s="201"/>
      <c r="I125" s="23"/>
      <c r="J125" s="124"/>
      <c r="K125" s="54"/>
      <c r="L125" s="124">
        <f>J125+0.2*COS(RADIANS(E125))</f>
        <v>8.4417882972434799E-2</v>
      </c>
      <c r="M125" s="151">
        <f>K125+0.2*SIN(RADIANS(E125))</f>
        <v>-0.18131084091816546</v>
      </c>
      <c r="N125" s="158">
        <f>B125+(E125-C125)/(C126-C125)</f>
        <v>298.37142857142857</v>
      </c>
      <c r="O125" s="186">
        <f>N125-N123</f>
        <v>27.085714285714289</v>
      </c>
    </row>
    <row r="126" spans="1:24" x14ac:dyDescent="0.2">
      <c r="A126" s="41">
        <f>A125+1</f>
        <v>40112</v>
      </c>
      <c r="B126" s="42">
        <f t="shared" si="29"/>
        <v>299</v>
      </c>
      <c r="C126" s="22">
        <v>302.39</v>
      </c>
      <c r="D126" s="33">
        <v>0.66</v>
      </c>
      <c r="E126" s="133"/>
      <c r="F126" s="17"/>
      <c r="G126" s="198"/>
      <c r="H126" s="16"/>
      <c r="I126" s="22"/>
      <c r="J126" s="125"/>
      <c r="K126" s="55"/>
      <c r="L126" s="123">
        <f>J125</f>
        <v>0</v>
      </c>
      <c r="M126" s="154">
        <f>K125</f>
        <v>0</v>
      </c>
      <c r="N126" s="159"/>
      <c r="O126" s="240"/>
    </row>
    <row r="127" spans="1:24" x14ac:dyDescent="0.2">
      <c r="A127" s="43">
        <v>40138</v>
      </c>
      <c r="B127" s="40">
        <f t="shared" si="29"/>
        <v>325</v>
      </c>
      <c r="C127" s="23">
        <v>286.56</v>
      </c>
      <c r="D127" s="69">
        <v>-0.51</v>
      </c>
      <c r="E127" s="82">
        <f>C127-D127/(D128-D127)*(C128-C127)</f>
        <v>292.27103773584906</v>
      </c>
      <c r="F127" s="18"/>
      <c r="G127" s="199">
        <v>5.09</v>
      </c>
      <c r="H127" s="201"/>
      <c r="I127" s="49"/>
      <c r="J127" s="124"/>
      <c r="K127" s="54"/>
      <c r="L127" s="124"/>
      <c r="M127" s="151"/>
      <c r="N127" s="158">
        <f>B127+(E127-C127)/(C128-C127)</f>
        <v>325.48113207547169</v>
      </c>
      <c r="O127" s="186">
        <f>N127-N125</f>
        <v>27.109703504043125</v>
      </c>
    </row>
    <row r="128" spans="1:24" x14ac:dyDescent="0.2">
      <c r="A128" s="41">
        <f>A127+1</f>
        <v>40139</v>
      </c>
      <c r="B128" s="42">
        <f t="shared" si="29"/>
        <v>326</v>
      </c>
      <c r="C128" s="22">
        <v>298.43</v>
      </c>
      <c r="D128" s="33">
        <v>0.55000000000000004</v>
      </c>
      <c r="E128" s="133"/>
      <c r="F128" s="17"/>
      <c r="G128" s="198"/>
      <c r="H128" s="16"/>
      <c r="I128" s="49"/>
      <c r="J128" s="125"/>
      <c r="K128" s="55"/>
      <c r="L128" s="125"/>
      <c r="M128" s="152"/>
      <c r="N128" s="22"/>
      <c r="O128" s="240"/>
    </row>
    <row r="129" spans="1:15" x14ac:dyDescent="0.2">
      <c r="A129" s="43">
        <v>40165</v>
      </c>
      <c r="B129" s="40">
        <f t="shared" si="29"/>
        <v>352</v>
      </c>
      <c r="C129" s="23">
        <v>282.81</v>
      </c>
      <c r="D129" s="69">
        <v>-0.76</v>
      </c>
      <c r="E129" s="18">
        <f>C129-D129/(D130-D129)*(C130-C129)</f>
        <v>291.1281651376147</v>
      </c>
      <c r="F129" s="18"/>
      <c r="G129" s="199">
        <v>5.23</v>
      </c>
      <c r="H129" s="201"/>
      <c r="I129" s="23"/>
      <c r="J129" s="124"/>
      <c r="K129" s="54"/>
      <c r="L129" s="124">
        <f>J129+0.2*COS(RADIANS(E129))</f>
        <v>7.209107613330501E-2</v>
      </c>
      <c r="M129" s="151">
        <f>K129+0.2*SIN(RADIANS(E129))</f>
        <v>-0.18655529138017507</v>
      </c>
      <c r="N129" s="158">
        <f>B129+(E129-C129)/(C130-C129)</f>
        <v>352.69724770642205</v>
      </c>
      <c r="O129" s="186">
        <f>N129-N127</f>
        <v>27.216115630950355</v>
      </c>
    </row>
    <row r="130" spans="1:15" ht="13.5" thickBot="1" x14ac:dyDescent="0.25">
      <c r="A130" s="47">
        <f>A129+1</f>
        <v>40166</v>
      </c>
      <c r="B130" s="48">
        <f t="shared" si="29"/>
        <v>353</v>
      </c>
      <c r="C130" s="212">
        <v>294.74</v>
      </c>
      <c r="D130" s="265">
        <v>0.33</v>
      </c>
      <c r="E130" s="266"/>
      <c r="F130" s="129"/>
      <c r="G130" s="267"/>
      <c r="H130" s="268"/>
      <c r="I130" s="212"/>
      <c r="J130" s="126"/>
      <c r="K130" s="64"/>
      <c r="L130" s="126">
        <f>J129</f>
        <v>0</v>
      </c>
      <c r="M130" s="155">
        <f>K129</f>
        <v>0</v>
      </c>
      <c r="N130" s="160"/>
      <c r="O130" s="241"/>
    </row>
    <row r="131" spans="1:15" ht="13.5" thickBot="1" x14ac:dyDescent="0.25">
      <c r="A131" s="72"/>
      <c r="B131" s="68"/>
      <c r="C131" s="26"/>
      <c r="D131" s="26"/>
      <c r="E131" s="26"/>
      <c r="F131" s="26"/>
      <c r="G131" s="27"/>
      <c r="H131" s="26"/>
      <c r="I131" s="26"/>
      <c r="J131" s="260"/>
      <c r="K131" s="260"/>
      <c r="L131" s="260"/>
      <c r="M131" s="260"/>
      <c r="N131" s="214" t="s">
        <v>29</v>
      </c>
      <c r="O131" s="153">
        <f>AVERAGE(O107:O129)</f>
        <v>27.178224095655292</v>
      </c>
    </row>
    <row r="132" spans="1:15" x14ac:dyDescent="0.2">
      <c r="A132" s="72"/>
      <c r="B132" s="68"/>
      <c r="C132" s="26"/>
      <c r="D132" s="26"/>
      <c r="E132" s="26"/>
      <c r="F132" s="26"/>
      <c r="G132" s="26"/>
      <c r="H132" s="26"/>
      <c r="I132" s="26"/>
      <c r="J132" s="260"/>
      <c r="K132" s="260"/>
      <c r="L132" s="260"/>
      <c r="M132" s="260"/>
      <c r="N132" s="26"/>
      <c r="O132" s="1008"/>
    </row>
    <row r="133" spans="1:15" x14ac:dyDescent="0.2">
      <c r="A133" s="72"/>
      <c r="B133" s="68"/>
      <c r="C133" s="26"/>
      <c r="D133" s="26"/>
      <c r="E133" s="26"/>
      <c r="F133" s="26"/>
      <c r="G133" s="26"/>
      <c r="H133" s="26"/>
      <c r="I133" s="26"/>
      <c r="J133" s="260"/>
      <c r="K133" s="260"/>
      <c r="L133" s="260"/>
      <c r="M133" s="260"/>
      <c r="N133" s="260"/>
      <c r="O133" s="986"/>
    </row>
    <row r="134" spans="1:15" x14ac:dyDescent="0.2">
      <c r="A134" s="72"/>
      <c r="B134" s="68"/>
      <c r="C134" s="26"/>
      <c r="D134" s="26"/>
      <c r="E134" s="26"/>
      <c r="F134" s="26"/>
      <c r="G134" s="26"/>
      <c r="H134" s="26"/>
      <c r="I134" s="26"/>
      <c r="J134" s="260"/>
      <c r="K134" s="260"/>
      <c r="L134" s="260"/>
      <c r="M134" s="260"/>
      <c r="N134" s="68"/>
      <c r="O134" s="992"/>
    </row>
    <row r="135" spans="1:1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46"/>
    </row>
    <row r="154" spans="1:17" x14ac:dyDescent="0.2">
      <c r="A154" s="346"/>
      <c r="B154" s="346"/>
      <c r="C154" s="346"/>
      <c r="D154" s="346"/>
      <c r="E154" s="346"/>
      <c r="F154" s="346"/>
      <c r="G154" s="346"/>
      <c r="H154" s="346"/>
      <c r="I154" s="346"/>
      <c r="J154" s="346"/>
      <c r="K154" s="346"/>
      <c r="L154" s="346"/>
      <c r="M154" s="346"/>
      <c r="N154" s="346"/>
      <c r="O154" s="346"/>
      <c r="P154" s="346"/>
      <c r="Q154" s="346"/>
    </row>
    <row r="155" spans="1:17" x14ac:dyDescent="0.2">
      <c r="A155" s="420"/>
      <c r="B155" s="420"/>
      <c r="C155" s="420"/>
      <c r="D155" s="420"/>
      <c r="E155" s="420"/>
      <c r="F155" s="420"/>
      <c r="G155" s="420"/>
      <c r="H155" s="420"/>
      <c r="I155" s="420"/>
      <c r="J155" s="420"/>
      <c r="K155" s="420"/>
      <c r="L155" s="420"/>
      <c r="M155" s="420"/>
      <c r="N155" s="420"/>
      <c r="O155" s="420"/>
      <c r="P155" s="987"/>
      <c r="Q155" s="346"/>
    </row>
    <row r="156" spans="1:17" ht="15" x14ac:dyDescent="0.25">
      <c r="A156" s="997"/>
      <c r="B156" s="1007"/>
      <c r="C156" s="347"/>
      <c r="D156" s="347"/>
      <c r="E156" s="347"/>
      <c r="F156" s="347"/>
      <c r="G156" s="347"/>
      <c r="H156" s="347"/>
      <c r="I156" s="347"/>
      <c r="J156" s="347"/>
      <c r="K156" s="347"/>
      <c r="L156" s="347"/>
      <c r="M156" s="347"/>
      <c r="N156" s="347"/>
      <c r="O156" s="347"/>
      <c r="P156" s="985"/>
      <c r="Q156" s="346"/>
    </row>
    <row r="157" spans="1:17" x14ac:dyDescent="0.2">
      <c r="A157" s="569"/>
      <c r="B157" s="569"/>
      <c r="C157" s="982"/>
      <c r="D157" s="982"/>
      <c r="E157" s="982"/>
      <c r="F157" s="982"/>
      <c r="G157" s="982"/>
      <c r="H157" s="982"/>
      <c r="I157" s="1424"/>
      <c r="J157" s="1424"/>
      <c r="K157" s="1424"/>
      <c r="L157" s="1424"/>
      <c r="M157" s="1424"/>
      <c r="N157" s="998"/>
      <c r="O157" s="999"/>
      <c r="P157" s="739"/>
      <c r="Q157" s="346"/>
    </row>
    <row r="158" spans="1:17" x14ac:dyDescent="0.2">
      <c r="A158" s="422"/>
      <c r="B158" s="1000"/>
      <c r="C158" s="981"/>
      <c r="D158" s="980"/>
      <c r="E158" s="1425"/>
      <c r="F158" s="1426"/>
      <c r="G158" s="147"/>
      <c r="H158" s="1001"/>
      <c r="I158" s="980"/>
      <c r="J158" s="147"/>
      <c r="K158" s="147"/>
      <c r="L158" s="1427"/>
      <c r="M158" s="1427"/>
      <c r="N158" s="999"/>
      <c r="O158" s="999"/>
      <c r="P158" s="569"/>
      <c r="Q158" s="346"/>
    </row>
    <row r="159" spans="1:17" x14ac:dyDescent="0.2">
      <c r="A159" s="422"/>
      <c r="B159" s="980"/>
      <c r="C159" s="867"/>
      <c r="D159" s="422"/>
      <c r="E159" s="569"/>
      <c r="F159" s="569"/>
      <c r="G159" s="422"/>
      <c r="H159" s="1002"/>
      <c r="I159" s="1002"/>
      <c r="J159" s="1335"/>
      <c r="K159" s="1427"/>
      <c r="L159" s="147"/>
      <c r="M159" s="147"/>
      <c r="N159" s="1003"/>
      <c r="O159" s="569"/>
      <c r="P159" s="569"/>
      <c r="Q159" s="346"/>
    </row>
    <row r="160" spans="1:17" x14ac:dyDescent="0.2">
      <c r="A160" s="1004"/>
      <c r="B160" s="420"/>
      <c r="C160" s="569"/>
      <c r="D160" s="569"/>
      <c r="E160" s="422"/>
      <c r="F160" s="422"/>
      <c r="G160" s="422"/>
      <c r="H160" s="569"/>
      <c r="I160" s="1002"/>
      <c r="J160" s="739"/>
      <c r="K160" s="420"/>
      <c r="L160" s="1422"/>
      <c r="M160" s="1422"/>
      <c r="N160" s="1005"/>
      <c r="O160" s="739"/>
      <c r="P160" s="346"/>
      <c r="Q160" s="346"/>
    </row>
    <row r="161" spans="1:17" x14ac:dyDescent="0.2">
      <c r="A161" s="386"/>
      <c r="B161" s="387"/>
      <c r="C161" s="420"/>
      <c r="D161" s="420"/>
      <c r="E161" s="34"/>
      <c r="F161" s="34"/>
      <c r="G161" s="34"/>
      <c r="H161" s="990"/>
      <c r="I161" s="34"/>
      <c r="J161" s="986"/>
      <c r="K161" s="986"/>
      <c r="L161" s="986"/>
      <c r="M161" s="986"/>
      <c r="N161" s="34"/>
      <c r="O161" s="985"/>
      <c r="P161" s="34"/>
      <c r="Q161" s="346"/>
    </row>
    <row r="162" spans="1:17" x14ac:dyDescent="0.2">
      <c r="A162" s="386"/>
      <c r="B162" s="387"/>
      <c r="C162" s="34"/>
      <c r="D162" s="34"/>
      <c r="E162" s="34"/>
      <c r="F162" s="34"/>
      <c r="G162" s="346"/>
      <c r="H162" s="34"/>
      <c r="I162" s="34"/>
      <c r="J162" s="986"/>
      <c r="K162" s="986"/>
      <c r="L162" s="986"/>
      <c r="M162" s="986"/>
      <c r="N162" s="34"/>
      <c r="O162" s="985"/>
      <c r="P162" s="991"/>
      <c r="Q162" s="346"/>
    </row>
    <row r="163" spans="1:17" x14ac:dyDescent="0.2">
      <c r="A163" s="386"/>
      <c r="B163" s="387"/>
      <c r="C163" s="34"/>
      <c r="D163" s="34"/>
      <c r="E163" s="34"/>
      <c r="F163" s="34"/>
      <c r="G163" s="34"/>
      <c r="H163" s="34"/>
      <c r="I163" s="34"/>
      <c r="J163" s="986"/>
      <c r="K163" s="986"/>
      <c r="L163" s="986"/>
      <c r="M163" s="986"/>
      <c r="N163" s="34"/>
      <c r="O163" s="986"/>
      <c r="P163" s="34"/>
      <c r="Q163" s="346"/>
    </row>
    <row r="164" spans="1:17" x14ac:dyDescent="0.2">
      <c r="A164" s="386"/>
      <c r="B164" s="387"/>
      <c r="C164" s="34"/>
      <c r="D164" s="34"/>
      <c r="E164" s="34"/>
      <c r="F164" s="346"/>
      <c r="G164" s="346"/>
      <c r="H164" s="34"/>
      <c r="I164" s="34"/>
      <c r="J164" s="986"/>
      <c r="K164" s="986"/>
      <c r="L164" s="986"/>
      <c r="M164" s="986"/>
      <c r="N164" s="34"/>
      <c r="O164" s="992"/>
      <c r="P164" s="991"/>
      <c r="Q164" s="346"/>
    </row>
    <row r="165" spans="1:17" x14ac:dyDescent="0.2">
      <c r="A165" s="386"/>
      <c r="B165" s="387"/>
      <c r="C165" s="420"/>
      <c r="D165" s="420"/>
      <c r="E165" s="34"/>
      <c r="F165" s="34"/>
      <c r="G165" s="34"/>
      <c r="H165" s="34"/>
      <c r="I165" s="34"/>
      <c r="J165" s="986"/>
      <c r="K165" s="986"/>
      <c r="L165" s="986"/>
      <c r="M165" s="986"/>
      <c r="N165" s="34"/>
      <c r="O165" s="34"/>
      <c r="P165" s="986"/>
      <c r="Q165" s="346"/>
    </row>
    <row r="166" spans="1:17" x14ac:dyDescent="0.2">
      <c r="A166" s="386"/>
      <c r="B166" s="387"/>
      <c r="C166" s="34"/>
      <c r="D166" s="34"/>
      <c r="E166" s="346"/>
      <c r="F166" s="1423"/>
      <c r="G166" s="1340"/>
      <c r="H166" s="34"/>
      <c r="I166" s="34"/>
      <c r="J166" s="986"/>
      <c r="K166" s="986"/>
      <c r="L166" s="986"/>
      <c r="M166" s="986"/>
      <c r="N166" s="34"/>
      <c r="O166" s="993"/>
      <c r="P166" s="986"/>
      <c r="Q166" s="346"/>
    </row>
    <row r="167" spans="1:17" x14ac:dyDescent="0.2">
      <c r="A167" s="386"/>
      <c r="B167" s="387"/>
      <c r="C167" s="34"/>
      <c r="D167" s="34"/>
      <c r="E167" s="34"/>
      <c r="F167" s="34"/>
      <c r="G167" s="34"/>
      <c r="H167" s="34"/>
      <c r="I167" s="34"/>
      <c r="J167" s="986"/>
      <c r="K167" s="986"/>
      <c r="L167" s="986"/>
      <c r="M167" s="986"/>
      <c r="N167" s="34"/>
      <c r="O167" s="991"/>
      <c r="P167" s="986"/>
      <c r="Q167" s="346"/>
    </row>
    <row r="168" spans="1:17" x14ac:dyDescent="0.2">
      <c r="A168" s="386"/>
      <c r="B168" s="387"/>
      <c r="C168" s="34"/>
      <c r="D168" s="34"/>
      <c r="E168" s="34"/>
      <c r="F168" s="994"/>
      <c r="G168" s="995"/>
      <c r="H168" s="34"/>
      <c r="I168" s="34"/>
      <c r="J168" s="986"/>
      <c r="K168" s="986"/>
      <c r="L168" s="986"/>
      <c r="M168" s="986"/>
      <c r="N168" s="34"/>
      <c r="O168" s="991"/>
      <c r="P168" s="986"/>
      <c r="Q168" s="346"/>
    </row>
    <row r="169" spans="1:17" x14ac:dyDescent="0.2">
      <c r="A169" s="386"/>
      <c r="B169" s="387"/>
      <c r="C169" s="420"/>
      <c r="D169" s="420"/>
      <c r="E169" s="34"/>
      <c r="F169" s="34"/>
      <c r="G169" s="34"/>
      <c r="H169" s="34"/>
      <c r="I169" s="34"/>
      <c r="J169" s="986"/>
      <c r="K169" s="986"/>
      <c r="L169" s="986"/>
      <c r="M169" s="986"/>
      <c r="N169" s="34"/>
      <c r="O169" s="34"/>
      <c r="P169" s="986"/>
      <c r="Q169" s="346"/>
    </row>
    <row r="170" spans="1:17" x14ac:dyDescent="0.2">
      <c r="A170" s="386"/>
      <c r="B170" s="387"/>
      <c r="C170" s="34"/>
      <c r="D170" s="34"/>
      <c r="E170" s="34"/>
      <c r="F170" s="34"/>
      <c r="G170" s="995"/>
      <c r="H170" s="34"/>
      <c r="I170" s="34"/>
      <c r="J170" s="986"/>
      <c r="K170" s="986"/>
      <c r="L170" s="986"/>
      <c r="M170" s="986"/>
      <c r="N170" s="34"/>
      <c r="O170" s="996"/>
      <c r="P170" s="986"/>
      <c r="Q170" s="346"/>
    </row>
    <row r="171" spans="1:17" x14ac:dyDescent="0.2">
      <c r="A171" s="1006"/>
      <c r="B171" s="1006"/>
      <c r="C171" s="1006"/>
      <c r="D171" s="1006"/>
      <c r="E171" s="1006"/>
      <c r="F171" s="1006"/>
      <c r="G171" s="1006"/>
      <c r="H171" s="1006"/>
      <c r="I171" s="1006"/>
      <c r="J171" s="1006"/>
      <c r="K171" s="1006"/>
      <c r="L171" s="1006"/>
      <c r="M171" s="1006"/>
      <c r="N171" s="1006"/>
      <c r="O171" s="1006"/>
      <c r="P171" s="1006"/>
      <c r="Q171" s="346"/>
    </row>
  </sheetData>
  <mergeCells count="52">
    <mergeCell ref="F26:G26"/>
    <mergeCell ref="B97:D97"/>
    <mergeCell ref="J5:K5"/>
    <mergeCell ref="J103:K103"/>
    <mergeCell ref="E102:F102"/>
    <mergeCell ref="F50:G50"/>
    <mergeCell ref="F38:G38"/>
    <mergeCell ref="F12:G12"/>
    <mergeCell ref="B100:E100"/>
    <mergeCell ref="B65:D65"/>
    <mergeCell ref="B63:D63"/>
    <mergeCell ref="B64:D64"/>
    <mergeCell ref="F94:I94"/>
    <mergeCell ref="B95:D95"/>
    <mergeCell ref="C101:G101"/>
    <mergeCell ref="B96:D96"/>
    <mergeCell ref="T25:U25"/>
    <mergeCell ref="T21:U21"/>
    <mergeCell ref="L6:M6"/>
    <mergeCell ref="Q24:X24"/>
    <mergeCell ref="H62:M62"/>
    <mergeCell ref="U22:V22"/>
    <mergeCell ref="W25:X25"/>
    <mergeCell ref="R42:T42"/>
    <mergeCell ref="S55:V55"/>
    <mergeCell ref="B1:O1"/>
    <mergeCell ref="E4:F4"/>
    <mergeCell ref="L4:M4"/>
    <mergeCell ref="C3:G3"/>
    <mergeCell ref="I3:K3"/>
    <mergeCell ref="L3:M3"/>
    <mergeCell ref="Q4:AM4"/>
    <mergeCell ref="AL5:AM5"/>
    <mergeCell ref="T5:U5"/>
    <mergeCell ref="W5:X5"/>
    <mergeCell ref="AB5:AF5"/>
    <mergeCell ref="L160:M160"/>
    <mergeCell ref="F166:G166"/>
    <mergeCell ref="I157:K157"/>
    <mergeCell ref="L157:M157"/>
    <mergeCell ref="E158:F158"/>
    <mergeCell ref="L158:M158"/>
    <mergeCell ref="J159:K159"/>
    <mergeCell ref="F118:G118"/>
    <mergeCell ref="F124:G124"/>
    <mergeCell ref="B99:O99"/>
    <mergeCell ref="L104:M104"/>
    <mergeCell ref="I101:K101"/>
    <mergeCell ref="L101:M101"/>
    <mergeCell ref="L102:M102"/>
    <mergeCell ref="F106:G106"/>
    <mergeCell ref="F112:G112"/>
  </mergeCells>
  <pageMargins left="0.7" right="0.7" top="0.78740157499999996" bottom="0.78740157499999996" header="0.3" footer="0.3"/>
  <pageSetup paperSize="9" orientation="portrait" verticalDpi="0" r:id="rId1"/>
  <ignoredErrors>
    <ignoredError sqref="K8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O132"/>
  <sheetViews>
    <sheetView topLeftCell="A4" workbookViewId="0">
      <selection activeCell="K43" sqref="K43"/>
    </sheetView>
  </sheetViews>
  <sheetFormatPr baseColWidth="10" defaultRowHeight="12.75" x14ac:dyDescent="0.2"/>
  <cols>
    <col min="1" max="1" width="8.140625" customWidth="1"/>
    <col min="2" max="2" width="6.5703125" customWidth="1"/>
    <col min="3" max="3" width="6.85546875" customWidth="1"/>
    <col min="4" max="4" width="5" customWidth="1"/>
    <col min="5" max="5" width="6.85546875" customWidth="1"/>
    <col min="6" max="6" width="4.5703125" customWidth="1"/>
    <col min="7" max="7" width="5" customWidth="1"/>
    <col min="8" max="8" width="15.5703125" bestFit="1" customWidth="1"/>
  </cols>
  <sheetData>
    <row r="1" spans="1:15" ht="15" x14ac:dyDescent="0.25">
      <c r="A1" s="1480" t="s">
        <v>140</v>
      </c>
      <c r="B1" s="1380"/>
      <c r="C1" s="1380"/>
      <c r="D1" s="1380"/>
      <c r="E1" s="1380"/>
      <c r="F1" s="1380"/>
      <c r="G1" s="345"/>
      <c r="H1" s="345"/>
      <c r="I1" s="345"/>
      <c r="J1" s="345"/>
      <c r="K1" s="345"/>
      <c r="L1" s="345"/>
      <c r="M1" s="345"/>
      <c r="N1" s="345"/>
      <c r="O1" s="345"/>
    </row>
    <row r="2" spans="1:15" ht="13.5" thickBot="1" x14ac:dyDescent="0.25">
      <c r="B2" s="1488"/>
      <c r="C2" s="1488"/>
      <c r="D2" s="1488"/>
    </row>
    <row r="3" spans="1:15" x14ac:dyDescent="0.2">
      <c r="A3" s="8" t="s">
        <v>22</v>
      </c>
      <c r="B3" s="15" t="s">
        <v>5</v>
      </c>
      <c r="C3" s="264" t="s">
        <v>78</v>
      </c>
      <c r="D3" s="92" t="s">
        <v>4</v>
      </c>
      <c r="E3" s="7"/>
    </row>
    <row r="4" spans="1:15" ht="13.5" thickBot="1" x14ac:dyDescent="0.25">
      <c r="A4" s="10"/>
      <c r="B4" s="13" t="s">
        <v>6</v>
      </c>
      <c r="C4" s="385" t="s">
        <v>105</v>
      </c>
      <c r="D4" s="251" t="s">
        <v>23</v>
      </c>
      <c r="E4" s="7"/>
      <c r="F4" s="250"/>
      <c r="G4" s="7"/>
    </row>
    <row r="5" spans="1:15" x14ac:dyDescent="0.2">
      <c r="A5" s="470">
        <v>39452</v>
      </c>
      <c r="B5" s="508">
        <v>5</v>
      </c>
      <c r="C5" s="18">
        <v>-5.0999999999999996</v>
      </c>
      <c r="D5" s="18">
        <f>ABS(C5)</f>
        <v>5.0999999999999996</v>
      </c>
      <c r="E5" s="7"/>
      <c r="F5" s="7"/>
      <c r="G5" s="7"/>
    </row>
    <row r="6" spans="1:15" x14ac:dyDescent="0.2">
      <c r="A6" s="471">
        <v>39465</v>
      </c>
      <c r="B6" s="509">
        <f t="shared" ref="B6:B31" si="0">B5+A6-A5</f>
        <v>18</v>
      </c>
      <c r="C6" s="82">
        <v>5.2</v>
      </c>
      <c r="D6" s="82">
        <f t="shared" ref="D6:D34" si="1">ABS(C6)</f>
        <v>5.2</v>
      </c>
      <c r="E6" s="7"/>
      <c r="F6" s="7"/>
      <c r="G6" s="7"/>
    </row>
    <row r="7" spans="1:15" x14ac:dyDescent="0.2">
      <c r="A7" s="472">
        <v>39479</v>
      </c>
      <c r="B7" s="510">
        <f t="shared" si="0"/>
        <v>32</v>
      </c>
      <c r="C7" s="163">
        <v>-5.25</v>
      </c>
      <c r="D7" s="164">
        <v>5.25</v>
      </c>
      <c r="E7" s="357"/>
      <c r="F7" s="7"/>
      <c r="G7" s="7"/>
    </row>
    <row r="8" spans="1:15" ht="15.75" x14ac:dyDescent="0.25">
      <c r="A8" s="473">
        <v>39492</v>
      </c>
      <c r="B8" s="511">
        <f t="shared" si="0"/>
        <v>45</v>
      </c>
      <c r="C8" s="60">
        <v>5.26</v>
      </c>
      <c r="D8" s="20">
        <v>5.28</v>
      </c>
      <c r="E8" s="1041" t="s">
        <v>173</v>
      </c>
      <c r="F8" s="7"/>
      <c r="G8" s="7"/>
    </row>
    <row r="9" spans="1:15" x14ac:dyDescent="0.2">
      <c r="A9" s="474">
        <v>39506</v>
      </c>
      <c r="B9" s="512">
        <f t="shared" si="0"/>
        <v>59</v>
      </c>
      <c r="C9" s="166">
        <v>-5.27</v>
      </c>
      <c r="D9" s="164">
        <f t="shared" si="1"/>
        <v>5.27</v>
      </c>
      <c r="E9" s="468"/>
      <c r="F9" s="7"/>
      <c r="G9" s="7"/>
    </row>
    <row r="10" spans="1:15" x14ac:dyDescent="0.2">
      <c r="A10" s="471">
        <v>39520</v>
      </c>
      <c r="B10" s="513">
        <f t="shared" si="0"/>
        <v>73</v>
      </c>
      <c r="C10" s="26">
        <v>5.2</v>
      </c>
      <c r="D10" s="82">
        <f t="shared" si="1"/>
        <v>5.2</v>
      </c>
      <c r="E10" s="468"/>
      <c r="F10" s="7"/>
      <c r="G10" s="7"/>
    </row>
    <row r="11" spans="1:15" x14ac:dyDescent="0.2">
      <c r="A11" s="475">
        <v>39533</v>
      </c>
      <c r="B11" s="508">
        <f t="shared" si="0"/>
        <v>86</v>
      </c>
      <c r="C11" s="69">
        <v>-5.15</v>
      </c>
      <c r="D11" s="18">
        <f t="shared" si="1"/>
        <v>5.15</v>
      </c>
      <c r="E11" s="468"/>
      <c r="F11" s="7"/>
      <c r="G11" s="7"/>
    </row>
    <row r="12" spans="1:15" x14ac:dyDescent="0.2">
      <c r="A12" s="476">
        <v>39547</v>
      </c>
      <c r="B12" s="514">
        <f t="shared" si="0"/>
        <v>100</v>
      </c>
      <c r="C12" s="33">
        <v>5.09</v>
      </c>
      <c r="D12" s="17">
        <f t="shared" si="1"/>
        <v>5.09</v>
      </c>
      <c r="E12" s="468"/>
      <c r="F12" s="7"/>
      <c r="G12" s="7"/>
    </row>
    <row r="13" spans="1:15" ht="15.75" x14ac:dyDescent="0.25">
      <c r="A13" s="471">
        <v>39560</v>
      </c>
      <c r="B13" s="513">
        <f t="shared" si="0"/>
        <v>113</v>
      </c>
      <c r="C13" s="26">
        <v>-5</v>
      </c>
      <c r="D13" s="87">
        <v>5.04</v>
      </c>
      <c r="E13" s="1041" t="s">
        <v>173</v>
      </c>
      <c r="F13" s="7"/>
      <c r="G13" s="7"/>
    </row>
    <row r="14" spans="1:15" ht="15" x14ac:dyDescent="0.2">
      <c r="A14" s="474">
        <v>39574</v>
      </c>
      <c r="B14" s="512">
        <f t="shared" si="0"/>
        <v>127</v>
      </c>
      <c r="C14" s="166">
        <v>5</v>
      </c>
      <c r="D14" s="169">
        <f t="shared" si="1"/>
        <v>5</v>
      </c>
      <c r="E14" s="1042"/>
      <c r="F14" s="7"/>
      <c r="G14" s="7"/>
    </row>
    <row r="15" spans="1:15" ht="15.75" x14ac:dyDescent="0.25">
      <c r="A15" s="477">
        <v>39587</v>
      </c>
      <c r="B15" s="515">
        <f>B14+A15-A14</f>
        <v>140</v>
      </c>
      <c r="C15" s="70">
        <v>-4.96</v>
      </c>
      <c r="D15" s="286">
        <v>4.99</v>
      </c>
      <c r="E15" s="1041" t="s">
        <v>173</v>
      </c>
      <c r="F15" s="7"/>
      <c r="G15" s="7"/>
    </row>
    <row r="16" spans="1:15" x14ac:dyDescent="0.2">
      <c r="A16" s="478">
        <v>39601</v>
      </c>
      <c r="B16" s="516">
        <f>B15+A16-A15</f>
        <v>154</v>
      </c>
      <c r="C16" s="168">
        <v>5.0199999999999996</v>
      </c>
      <c r="D16" s="169">
        <f t="shared" si="1"/>
        <v>5.0199999999999996</v>
      </c>
      <c r="E16" s="344"/>
    </row>
    <row r="17" spans="1:12" x14ac:dyDescent="0.2">
      <c r="A17" s="471">
        <v>39615</v>
      </c>
      <c r="B17" s="517">
        <f>B16+A17-A16</f>
        <v>168</v>
      </c>
      <c r="C17" s="26">
        <v>-5.0599999999999996</v>
      </c>
      <c r="D17" s="82">
        <f t="shared" si="1"/>
        <v>5.0599999999999996</v>
      </c>
      <c r="E17" s="528"/>
      <c r="F17" s="487"/>
      <c r="G17" s="7"/>
    </row>
    <row r="18" spans="1:12" x14ac:dyDescent="0.2">
      <c r="A18" s="471">
        <v>39629</v>
      </c>
      <c r="B18" s="513">
        <f t="shared" si="0"/>
        <v>182</v>
      </c>
      <c r="C18" s="26">
        <v>5.13</v>
      </c>
      <c r="D18" s="82">
        <f t="shared" si="1"/>
        <v>5.13</v>
      </c>
      <c r="E18" s="344"/>
      <c r="F18" s="7"/>
      <c r="G18" s="7"/>
    </row>
    <row r="19" spans="1:12" x14ac:dyDescent="0.2">
      <c r="A19" s="475">
        <v>39642</v>
      </c>
      <c r="B19" s="508">
        <f t="shared" si="0"/>
        <v>195</v>
      </c>
      <c r="C19" s="69">
        <v>-5.2</v>
      </c>
      <c r="D19" s="18">
        <f t="shared" si="1"/>
        <v>5.2</v>
      </c>
      <c r="E19" s="344"/>
      <c r="F19" s="7"/>
      <c r="G19" s="7"/>
    </row>
    <row r="20" spans="1:12" x14ac:dyDescent="0.2">
      <c r="A20" s="478">
        <v>39656</v>
      </c>
      <c r="B20" s="516">
        <f t="shared" si="0"/>
        <v>209</v>
      </c>
      <c r="C20" s="168">
        <v>5.26</v>
      </c>
      <c r="D20" s="169">
        <f t="shared" si="1"/>
        <v>5.26</v>
      </c>
      <c r="E20" s="344"/>
      <c r="G20" s="874"/>
      <c r="I20" s="489"/>
    </row>
    <row r="21" spans="1:12" x14ac:dyDescent="0.2">
      <c r="A21" s="479">
        <v>39669</v>
      </c>
      <c r="B21" s="518">
        <f t="shared" si="0"/>
        <v>222</v>
      </c>
      <c r="C21" s="28">
        <v>-5.28</v>
      </c>
      <c r="D21" s="83">
        <f t="shared" si="1"/>
        <v>5.28</v>
      </c>
      <c r="E21" s="344"/>
      <c r="F21" s="7"/>
      <c r="G21" s="877"/>
      <c r="H21" s="878"/>
      <c r="I21" s="876"/>
    </row>
    <row r="22" spans="1:12" x14ac:dyDescent="0.2">
      <c r="A22" s="474">
        <v>39683</v>
      </c>
      <c r="B22" s="512">
        <f t="shared" si="0"/>
        <v>236</v>
      </c>
      <c r="C22" s="166">
        <v>5.27</v>
      </c>
      <c r="D22" s="167">
        <f t="shared" si="1"/>
        <v>5.27</v>
      </c>
      <c r="E22" s="344"/>
      <c r="F22" s="7"/>
      <c r="G22" s="7"/>
      <c r="I22" s="489"/>
    </row>
    <row r="23" spans="1:12" x14ac:dyDescent="0.2">
      <c r="A23" s="480">
        <v>39696</v>
      </c>
      <c r="B23" s="508">
        <f t="shared" si="0"/>
        <v>249</v>
      </c>
      <c r="C23" s="84">
        <v>-5.22</v>
      </c>
      <c r="D23" s="85">
        <f t="shared" si="1"/>
        <v>5.22</v>
      </c>
      <c r="E23" s="344"/>
      <c r="F23" s="7"/>
      <c r="G23" s="7"/>
      <c r="I23" s="489"/>
    </row>
    <row r="24" spans="1:12" x14ac:dyDescent="0.2">
      <c r="A24" s="481">
        <v>39710</v>
      </c>
      <c r="B24" s="514">
        <f t="shared" si="0"/>
        <v>263</v>
      </c>
      <c r="C24" s="36">
        <v>5.15</v>
      </c>
      <c r="D24" s="86">
        <f t="shared" si="1"/>
        <v>5.15</v>
      </c>
      <c r="E24" s="344"/>
      <c r="F24" s="7"/>
      <c r="G24" s="874"/>
      <c r="I24" s="489"/>
    </row>
    <row r="25" spans="1:12" x14ac:dyDescent="0.2">
      <c r="A25" s="482">
        <v>39724</v>
      </c>
      <c r="B25" s="513">
        <f t="shared" si="0"/>
        <v>277</v>
      </c>
      <c r="C25" s="34">
        <v>-5.07</v>
      </c>
      <c r="D25" s="87">
        <f t="shared" si="1"/>
        <v>5.07</v>
      </c>
      <c r="E25" s="345"/>
      <c r="F25" s="7"/>
      <c r="G25" s="877"/>
      <c r="H25" s="878"/>
      <c r="I25" s="876"/>
    </row>
    <row r="26" spans="1:12" x14ac:dyDescent="0.2">
      <c r="A26" s="483">
        <v>39737</v>
      </c>
      <c r="B26" s="512">
        <f t="shared" si="0"/>
        <v>290</v>
      </c>
      <c r="C26" s="166">
        <v>5</v>
      </c>
      <c r="D26" s="167">
        <f t="shared" si="1"/>
        <v>5</v>
      </c>
      <c r="E26" s="345"/>
    </row>
    <row r="27" spans="1:12" ht="13.5" thickBot="1" x14ac:dyDescent="0.25">
      <c r="A27" s="484">
        <v>39751</v>
      </c>
      <c r="B27" s="515">
        <f t="shared" si="0"/>
        <v>304</v>
      </c>
      <c r="C27" s="70">
        <v>-4.9800000000000004</v>
      </c>
      <c r="D27" s="21">
        <f t="shared" si="1"/>
        <v>4.9800000000000004</v>
      </c>
      <c r="E27" s="345"/>
      <c r="F27" s="486"/>
      <c r="G27" s="487"/>
    </row>
    <row r="28" spans="1:12" ht="14.25" x14ac:dyDescent="0.2">
      <c r="A28" s="485">
        <v>39765</v>
      </c>
      <c r="B28" s="516">
        <f t="shared" si="0"/>
        <v>318</v>
      </c>
      <c r="C28" s="168">
        <v>4.99</v>
      </c>
      <c r="D28" s="169">
        <v>4.99</v>
      </c>
      <c r="E28" s="357"/>
      <c r="I28" s="1478" t="s">
        <v>189</v>
      </c>
      <c r="J28" s="1479"/>
      <c r="K28" s="1147"/>
    </row>
    <row r="29" spans="1:12" x14ac:dyDescent="0.2">
      <c r="A29" s="482">
        <v>39778</v>
      </c>
      <c r="B29" s="513">
        <f t="shared" si="0"/>
        <v>331</v>
      </c>
      <c r="C29" s="34">
        <v>-5.0199999999999996</v>
      </c>
      <c r="D29" s="87">
        <v>5.0199999999999996</v>
      </c>
      <c r="E29" s="357"/>
      <c r="I29" s="1121" t="s">
        <v>10</v>
      </c>
      <c r="J29" s="677" t="s">
        <v>11</v>
      </c>
      <c r="K29" s="660"/>
    </row>
    <row r="30" spans="1:12" x14ac:dyDescent="0.2">
      <c r="A30" s="481">
        <v>39792</v>
      </c>
      <c r="B30" s="514">
        <f t="shared" si="0"/>
        <v>345</v>
      </c>
      <c r="C30" s="36">
        <v>5.1100000000000003</v>
      </c>
      <c r="D30" s="86">
        <f t="shared" si="1"/>
        <v>5.1100000000000003</v>
      </c>
      <c r="E30" s="345"/>
      <c r="I30" s="1133">
        <v>45</v>
      </c>
      <c r="J30" s="1148">
        <v>5.23</v>
      </c>
      <c r="K30" s="1110"/>
    </row>
    <row r="31" spans="1:12" ht="13.5" thickBot="1" x14ac:dyDescent="0.25">
      <c r="A31" s="480">
        <v>39805</v>
      </c>
      <c r="B31" s="509">
        <f t="shared" si="0"/>
        <v>358</v>
      </c>
      <c r="C31" s="85">
        <v>-5.16</v>
      </c>
      <c r="D31" s="85">
        <f t="shared" si="1"/>
        <v>5.16</v>
      </c>
      <c r="E31" s="345"/>
      <c r="I31" s="12">
        <v>222</v>
      </c>
      <c r="J31" s="1148">
        <v>5.23</v>
      </c>
      <c r="K31" s="1110"/>
      <c r="L31" s="1146"/>
    </row>
    <row r="32" spans="1:12" x14ac:dyDescent="0.2">
      <c r="A32" s="481">
        <v>39819</v>
      </c>
      <c r="B32" s="856">
        <f>B31+A32-A31</f>
        <v>372</v>
      </c>
      <c r="C32" s="86">
        <v>5.23</v>
      </c>
      <c r="D32" s="86">
        <f t="shared" si="1"/>
        <v>5.23</v>
      </c>
      <c r="E32" s="345"/>
      <c r="G32" s="1205"/>
      <c r="H32" s="3"/>
      <c r="I32" s="1325" t="s">
        <v>154</v>
      </c>
      <c r="J32" s="1353"/>
      <c r="K32" s="1114"/>
    </row>
    <row r="33" spans="1:15" x14ac:dyDescent="0.2">
      <c r="A33" s="857">
        <v>39832</v>
      </c>
      <c r="B33" s="855">
        <f>B32+A33-A32</f>
        <v>385</v>
      </c>
      <c r="C33" s="286">
        <v>-5.28</v>
      </c>
      <c r="D33" s="286">
        <f t="shared" si="1"/>
        <v>5.28</v>
      </c>
      <c r="E33" s="345"/>
      <c r="G33" s="735"/>
      <c r="H33" s="346"/>
      <c r="I33" s="1208">
        <v>45</v>
      </c>
      <c r="J33" s="1207">
        <v>5.13</v>
      </c>
      <c r="K33" s="1127"/>
    </row>
    <row r="34" spans="1:15" ht="13.5" thickBot="1" x14ac:dyDescent="0.25">
      <c r="A34" s="481">
        <v>39847</v>
      </c>
      <c r="B34" s="856">
        <f>B33+A34-A33</f>
        <v>400</v>
      </c>
      <c r="C34" s="86">
        <v>5.27</v>
      </c>
      <c r="D34" s="86">
        <f t="shared" si="1"/>
        <v>5.27</v>
      </c>
      <c r="E34" s="554"/>
      <c r="F34" s="345"/>
      <c r="H34" s="3"/>
      <c r="I34" s="1209">
        <v>385</v>
      </c>
      <c r="J34" s="1206">
        <v>5.13</v>
      </c>
      <c r="K34" s="1110"/>
    </row>
    <row r="35" spans="1:15" x14ac:dyDescent="0.2">
      <c r="A35" s="1484" t="s">
        <v>101</v>
      </c>
      <c r="B35" s="1485"/>
      <c r="C35" s="1485"/>
      <c r="D35" s="854"/>
      <c r="E35" s="1483" t="s">
        <v>174</v>
      </c>
      <c r="F35" s="1380"/>
      <c r="I35" s="1145"/>
      <c r="J35" s="1130"/>
      <c r="K35" s="1110"/>
    </row>
    <row r="36" spans="1:15" x14ac:dyDescent="0.2">
      <c r="A36" s="1486" t="s">
        <v>102</v>
      </c>
      <c r="B36" s="1487"/>
      <c r="C36" s="1487"/>
      <c r="D36" s="880">
        <f>AVERAGE(D8:D33)</f>
        <v>5.1326923076923077</v>
      </c>
      <c r="E36" s="1481" t="s">
        <v>176</v>
      </c>
      <c r="F36" s="1482"/>
      <c r="I36" s="1127"/>
      <c r="J36" s="1110"/>
    </row>
    <row r="37" spans="1:15" x14ac:dyDescent="0.2">
      <c r="A37" s="882"/>
      <c r="B37" s="1489" t="s">
        <v>153</v>
      </c>
      <c r="C37" s="1489"/>
      <c r="D37" s="883">
        <f>A21-A8</f>
        <v>177</v>
      </c>
      <c r="E37" s="884" t="s">
        <v>148</v>
      </c>
      <c r="F37" s="881"/>
      <c r="N37" s="488"/>
    </row>
    <row r="38" spans="1:15" x14ac:dyDescent="0.2">
      <c r="N38" s="469"/>
      <c r="O38" s="467"/>
    </row>
    <row r="40" spans="1:15" x14ac:dyDescent="0.2">
      <c r="A40" s="345"/>
      <c r="B40" s="346"/>
      <c r="C40" s="346"/>
      <c r="D40" s="346"/>
    </row>
    <row r="41" spans="1:15" x14ac:dyDescent="0.2">
      <c r="A41" s="872"/>
    </row>
    <row r="42" spans="1:15" x14ac:dyDescent="0.2">
      <c r="A42" s="879"/>
    </row>
    <row r="43" spans="1:15" x14ac:dyDescent="0.2">
      <c r="A43" s="873"/>
    </row>
    <row r="44" spans="1:15" x14ac:dyDescent="0.2">
      <c r="A44" s="420"/>
    </row>
    <row r="45" spans="1:15" x14ac:dyDescent="0.2">
      <c r="A45" s="420"/>
    </row>
    <row r="46" spans="1:15" x14ac:dyDescent="0.2">
      <c r="A46" s="387"/>
    </row>
    <row r="47" spans="1:15" x14ac:dyDescent="0.2">
      <c r="A47" s="387"/>
    </row>
    <row r="48" spans="1:15" x14ac:dyDescent="0.2">
      <c r="A48" s="387"/>
    </row>
    <row r="49" spans="1:14" x14ac:dyDescent="0.2">
      <c r="A49" s="387"/>
      <c r="B49" s="34"/>
      <c r="C49" s="34"/>
    </row>
    <row r="50" spans="1:14" x14ac:dyDescent="0.2">
      <c r="A50" s="387"/>
      <c r="B50" s="34"/>
      <c r="C50" s="34"/>
    </row>
    <row r="51" spans="1:14" x14ac:dyDescent="0.2">
      <c r="A51" s="387"/>
      <c r="B51" s="34"/>
      <c r="C51" s="34"/>
    </row>
    <row r="52" spans="1:14" x14ac:dyDescent="0.2">
      <c r="A52" s="387"/>
      <c r="B52" s="34"/>
      <c r="C52" s="34"/>
    </row>
    <row r="53" spans="1:14" x14ac:dyDescent="0.2">
      <c r="A53" s="67"/>
      <c r="B53" s="386"/>
      <c r="C53" s="387"/>
      <c r="D53" s="34"/>
      <c r="E53" s="34"/>
    </row>
    <row r="54" spans="1:14" x14ac:dyDescent="0.2">
      <c r="A54" s="67"/>
      <c r="B54" s="386"/>
      <c r="C54" s="387"/>
      <c r="D54" s="34"/>
      <c r="E54" s="34"/>
    </row>
    <row r="55" spans="1:14" x14ac:dyDescent="0.2">
      <c r="A55" s="67"/>
      <c r="B55" s="386"/>
      <c r="C55" s="387"/>
      <c r="D55" s="34"/>
      <c r="E55" s="34"/>
    </row>
    <row r="56" spans="1:14" x14ac:dyDescent="0.2">
      <c r="A56" s="67"/>
      <c r="B56" s="386"/>
      <c r="C56" s="387"/>
      <c r="D56" s="34"/>
      <c r="E56" s="34"/>
    </row>
    <row r="57" spans="1:14" x14ac:dyDescent="0.2">
      <c r="A57" s="67"/>
      <c r="B57" s="386"/>
      <c r="C57" s="387"/>
      <c r="D57" s="34"/>
      <c r="E57" s="34"/>
    </row>
    <row r="58" spans="1:14" x14ac:dyDescent="0.2">
      <c r="A58" s="67"/>
      <c r="B58" s="386"/>
      <c r="C58" s="387"/>
      <c r="D58" s="34"/>
      <c r="E58" s="34"/>
    </row>
    <row r="59" spans="1:14" x14ac:dyDescent="0.2">
      <c r="A59" s="67"/>
      <c r="B59" s="386"/>
      <c r="C59" s="387"/>
      <c r="D59" s="34"/>
      <c r="E59" s="34"/>
      <c r="M59" s="3"/>
      <c r="N59" s="3"/>
    </row>
    <row r="60" spans="1:14" x14ac:dyDescent="0.2">
      <c r="A60" s="32"/>
      <c r="B60" s="386"/>
      <c r="C60" s="387"/>
      <c r="D60" s="34"/>
      <c r="E60" s="34"/>
      <c r="M60" s="3"/>
      <c r="N60" s="3"/>
    </row>
    <row r="61" spans="1:14" x14ac:dyDescent="0.2">
      <c r="B61" s="386"/>
      <c r="C61" s="387"/>
      <c r="D61" s="34"/>
      <c r="E61" s="34"/>
      <c r="M61" s="687"/>
      <c r="N61" s="734"/>
    </row>
    <row r="62" spans="1:14" x14ac:dyDescent="0.2">
      <c r="B62" s="386"/>
      <c r="C62" s="387"/>
      <c r="D62" s="34"/>
      <c r="E62" s="34"/>
      <c r="M62" s="687"/>
      <c r="N62" s="688"/>
    </row>
    <row r="63" spans="1:14" x14ac:dyDescent="0.2">
      <c r="B63" s="386"/>
      <c r="C63" s="387"/>
      <c r="D63" s="34"/>
      <c r="E63" s="34"/>
      <c r="M63" s="687"/>
      <c r="N63" s="687"/>
    </row>
    <row r="64" spans="1:14" x14ac:dyDescent="0.2">
      <c r="B64" s="735"/>
      <c r="C64" s="387"/>
      <c r="D64" s="34"/>
      <c r="E64" s="34"/>
      <c r="M64" s="687"/>
      <c r="N64" s="687"/>
    </row>
    <row r="65" spans="2:14" x14ac:dyDescent="0.2">
      <c r="B65" s="735"/>
      <c r="C65" s="387"/>
      <c r="D65" s="34"/>
      <c r="E65" s="34"/>
      <c r="M65" s="687"/>
      <c r="N65" s="687"/>
    </row>
    <row r="66" spans="2:14" x14ac:dyDescent="0.2">
      <c r="B66" s="735"/>
      <c r="C66" s="387"/>
      <c r="D66" s="34"/>
      <c r="E66" s="34"/>
      <c r="M66" s="687"/>
      <c r="N66" s="687"/>
    </row>
    <row r="67" spans="2:14" x14ac:dyDescent="0.2">
      <c r="B67" s="735"/>
      <c r="C67" s="387"/>
      <c r="D67" s="34"/>
      <c r="E67" s="34"/>
      <c r="M67" s="687"/>
      <c r="N67" s="687"/>
    </row>
    <row r="68" spans="2:14" x14ac:dyDescent="0.2">
      <c r="B68" s="735"/>
      <c r="C68" s="387"/>
      <c r="D68" s="34"/>
      <c r="E68" s="34"/>
      <c r="M68" s="687"/>
      <c r="N68" s="687"/>
    </row>
    <row r="69" spans="2:14" x14ac:dyDescent="0.2">
      <c r="B69" s="735"/>
      <c r="C69" s="387"/>
      <c r="D69" s="34"/>
      <c r="E69" s="34"/>
      <c r="M69" s="687"/>
      <c r="N69" s="687"/>
    </row>
    <row r="70" spans="2:14" x14ac:dyDescent="0.2">
      <c r="B70" s="735"/>
      <c r="C70" s="387"/>
      <c r="D70" s="34"/>
      <c r="E70" s="34"/>
      <c r="M70" s="687"/>
      <c r="N70" s="687"/>
    </row>
    <row r="71" spans="2:14" x14ac:dyDescent="0.2">
      <c r="B71" s="735"/>
      <c r="C71" s="387"/>
      <c r="D71" s="34"/>
      <c r="E71" s="34"/>
      <c r="M71" s="3"/>
      <c r="N71" s="3"/>
    </row>
    <row r="72" spans="2:14" x14ac:dyDescent="0.2">
      <c r="B72" s="735"/>
      <c r="C72" s="387"/>
      <c r="D72" s="34"/>
      <c r="E72" s="34"/>
      <c r="M72" s="3"/>
      <c r="N72" s="3"/>
    </row>
    <row r="73" spans="2:14" x14ac:dyDescent="0.2">
      <c r="B73" s="735"/>
      <c r="C73" s="686"/>
      <c r="D73" s="686"/>
      <c r="E73" s="346"/>
      <c r="M73" s="3"/>
      <c r="N73" s="3"/>
    </row>
    <row r="74" spans="2:14" x14ac:dyDescent="0.2">
      <c r="B74" s="735"/>
      <c r="C74" s="1324"/>
      <c r="D74" s="1324"/>
      <c r="E74" s="34"/>
      <c r="M74" s="3"/>
      <c r="N74" s="3"/>
    </row>
    <row r="75" spans="2:14" x14ac:dyDescent="0.2">
      <c r="B75" s="346"/>
      <c r="C75" s="346"/>
      <c r="D75" s="346"/>
      <c r="E75" s="346"/>
      <c r="M75" s="3"/>
      <c r="N75" s="3"/>
    </row>
    <row r="76" spans="2:14" x14ac:dyDescent="0.2">
      <c r="B76" s="346"/>
      <c r="C76" s="346"/>
      <c r="D76" s="346"/>
      <c r="E76" s="346"/>
      <c r="F76" s="346"/>
      <c r="M76" s="3"/>
      <c r="N76" s="3"/>
    </row>
    <row r="77" spans="2:14" ht="15" x14ac:dyDescent="0.25">
      <c r="B77" s="736"/>
      <c r="C77" s="742"/>
      <c r="D77" s="686"/>
      <c r="E77" s="686"/>
      <c r="F77" s="346"/>
      <c r="M77" s="3"/>
      <c r="N77" s="3"/>
    </row>
    <row r="78" spans="2:14" x14ac:dyDescent="0.2">
      <c r="B78" s="346"/>
      <c r="C78" s="556"/>
      <c r="D78" s="556"/>
      <c r="E78" s="556"/>
      <c r="F78" s="346"/>
      <c r="M78" s="3"/>
      <c r="N78" s="3"/>
    </row>
    <row r="79" spans="2:14" x14ac:dyDescent="0.2">
      <c r="B79" s="420"/>
      <c r="C79" s="420"/>
      <c r="D79" s="737"/>
      <c r="E79" s="738"/>
      <c r="F79" s="346"/>
      <c r="M79" s="3"/>
      <c r="N79" s="3"/>
    </row>
    <row r="80" spans="2:14" x14ac:dyDescent="0.2">
      <c r="B80" s="420"/>
      <c r="C80" s="420"/>
      <c r="D80" s="685"/>
      <c r="E80" s="739"/>
      <c r="F80" s="346"/>
      <c r="M80" s="3"/>
      <c r="N80" s="3"/>
    </row>
    <row r="81" spans="1:6" x14ac:dyDescent="0.2">
      <c r="B81" s="386"/>
      <c r="C81" s="420"/>
      <c r="D81" s="739"/>
      <c r="E81" s="739"/>
      <c r="F81" s="346"/>
    </row>
    <row r="82" spans="1:6" x14ac:dyDescent="0.2">
      <c r="B82" s="386"/>
      <c r="C82" s="420"/>
      <c r="D82" s="451"/>
      <c r="E82" s="739"/>
      <c r="F82" s="346"/>
    </row>
    <row r="83" spans="1:6" x14ac:dyDescent="0.2">
      <c r="B83" s="386"/>
      <c r="C83" s="420"/>
      <c r="D83" s="34"/>
      <c r="E83" s="34"/>
      <c r="F83" s="346"/>
    </row>
    <row r="84" spans="1:6" x14ac:dyDescent="0.2">
      <c r="B84" s="386"/>
      <c r="C84" s="420"/>
      <c r="D84" s="34"/>
      <c r="E84" s="34"/>
      <c r="F84" s="346"/>
    </row>
    <row r="85" spans="1:6" x14ac:dyDescent="0.2">
      <c r="B85" s="386"/>
      <c r="C85" s="420"/>
      <c r="D85" s="34"/>
      <c r="E85" s="34"/>
      <c r="F85" s="346"/>
    </row>
    <row r="86" spans="1:6" x14ac:dyDescent="0.2">
      <c r="B86" s="386"/>
      <c r="C86" s="420"/>
      <c r="D86" s="34"/>
      <c r="E86" s="740"/>
      <c r="F86" s="346"/>
    </row>
    <row r="87" spans="1:6" x14ac:dyDescent="0.2">
      <c r="B87" s="386"/>
      <c r="C87" s="420"/>
      <c r="D87" s="34"/>
      <c r="E87" s="34"/>
      <c r="F87" s="346"/>
    </row>
    <row r="88" spans="1:6" x14ac:dyDescent="0.2">
      <c r="B88" s="386"/>
      <c r="C88" s="420"/>
      <c r="D88" s="34"/>
      <c r="E88" s="34"/>
      <c r="F88" s="346"/>
    </row>
    <row r="89" spans="1:6" x14ac:dyDescent="0.2">
      <c r="B89" s="386"/>
      <c r="C89" s="420"/>
      <c r="D89" s="34"/>
      <c r="E89" s="34"/>
      <c r="F89" s="346"/>
    </row>
    <row r="90" spans="1:6" x14ac:dyDescent="0.2">
      <c r="B90" s="386"/>
      <c r="C90" s="420"/>
      <c r="D90" s="34"/>
      <c r="E90" s="34"/>
      <c r="F90" s="346"/>
    </row>
    <row r="91" spans="1:6" x14ac:dyDescent="0.2">
      <c r="A91" s="345"/>
      <c r="B91" s="386"/>
      <c r="C91" s="420"/>
      <c r="D91" s="34"/>
      <c r="E91" s="34"/>
      <c r="F91" s="346"/>
    </row>
    <row r="92" spans="1:6" x14ac:dyDescent="0.2">
      <c r="A92" s="345"/>
      <c r="B92" s="386"/>
      <c r="C92" s="420"/>
      <c r="D92" s="34"/>
      <c r="E92" s="34"/>
      <c r="F92" s="346"/>
    </row>
    <row r="93" spans="1:6" x14ac:dyDescent="0.2">
      <c r="A93" s="345"/>
      <c r="B93" s="386"/>
      <c r="C93" s="420"/>
      <c r="D93" s="34"/>
      <c r="E93" s="34"/>
      <c r="F93" s="346"/>
    </row>
    <row r="94" spans="1:6" x14ac:dyDescent="0.2">
      <c r="A94" s="345"/>
      <c r="B94" s="386"/>
      <c r="C94" s="420"/>
      <c r="D94" s="34"/>
      <c r="E94" s="34"/>
      <c r="F94" s="346"/>
    </row>
    <row r="95" spans="1:6" x14ac:dyDescent="0.2">
      <c r="A95" s="345"/>
      <c r="B95" s="386"/>
      <c r="C95" s="420"/>
      <c r="D95" s="34"/>
      <c r="E95" s="34"/>
      <c r="F95" s="346"/>
    </row>
    <row r="96" spans="1:6" x14ac:dyDescent="0.2">
      <c r="A96" s="345"/>
      <c r="B96" s="386"/>
      <c r="C96" s="420"/>
      <c r="D96" s="34"/>
      <c r="E96" s="34"/>
      <c r="F96" s="346"/>
    </row>
    <row r="97" spans="1:6" x14ac:dyDescent="0.2">
      <c r="A97" s="345"/>
      <c r="B97" s="386"/>
      <c r="C97" s="420"/>
      <c r="D97" s="34"/>
      <c r="E97" s="34"/>
      <c r="F97" s="346"/>
    </row>
    <row r="98" spans="1:6" x14ac:dyDescent="0.2">
      <c r="A98" s="345"/>
      <c r="B98" s="386"/>
      <c r="C98" s="420"/>
      <c r="D98" s="34"/>
      <c r="E98" s="34"/>
      <c r="F98" s="346"/>
    </row>
    <row r="99" spans="1:6" x14ac:dyDescent="0.2">
      <c r="A99" s="345"/>
      <c r="B99" s="386"/>
      <c r="C99" s="420"/>
      <c r="D99" s="34"/>
      <c r="E99" s="34"/>
      <c r="F99" s="346"/>
    </row>
    <row r="100" spans="1:6" x14ac:dyDescent="0.2">
      <c r="A100" s="345"/>
      <c r="B100" s="386"/>
      <c r="C100" s="387"/>
      <c r="D100" s="387"/>
      <c r="E100" s="34"/>
      <c r="F100" s="346"/>
    </row>
    <row r="101" spans="1:6" x14ac:dyDescent="0.2">
      <c r="A101" s="345"/>
      <c r="B101" s="386"/>
      <c r="C101" s="387"/>
      <c r="D101" s="387"/>
      <c r="E101" s="34"/>
      <c r="F101" s="346"/>
    </row>
    <row r="102" spans="1:6" x14ac:dyDescent="0.2">
      <c r="A102" s="345"/>
      <c r="B102" s="386"/>
      <c r="C102" s="387"/>
      <c r="D102" s="34"/>
      <c r="E102" s="34"/>
      <c r="F102" s="346"/>
    </row>
    <row r="103" spans="1:6" x14ac:dyDescent="0.2">
      <c r="A103" s="345"/>
      <c r="B103" s="386"/>
      <c r="C103" s="387"/>
      <c r="D103" s="34"/>
      <c r="E103" s="34"/>
      <c r="F103" s="346"/>
    </row>
    <row r="104" spans="1:6" x14ac:dyDescent="0.2">
      <c r="A104" s="345"/>
      <c r="B104" s="386"/>
      <c r="C104" s="387"/>
      <c r="D104" s="34"/>
      <c r="E104" s="34"/>
      <c r="F104" s="346"/>
    </row>
    <row r="105" spans="1:6" x14ac:dyDescent="0.2">
      <c r="A105" s="345"/>
      <c r="B105" s="386"/>
      <c r="C105" s="387"/>
      <c r="D105" s="34"/>
      <c r="E105" s="34"/>
      <c r="F105" s="346"/>
    </row>
    <row r="106" spans="1:6" x14ac:dyDescent="0.2">
      <c r="A106" s="345"/>
      <c r="B106" s="386"/>
      <c r="C106" s="387"/>
      <c r="D106" s="34"/>
      <c r="E106" s="34"/>
      <c r="F106" s="346"/>
    </row>
    <row r="107" spans="1:6" x14ac:dyDescent="0.2">
      <c r="A107" s="345"/>
      <c r="B107" s="386"/>
      <c r="C107" s="387"/>
      <c r="D107" s="34"/>
      <c r="E107" s="34"/>
      <c r="F107" s="346"/>
    </row>
    <row r="108" spans="1:6" x14ac:dyDescent="0.2">
      <c r="A108" s="345"/>
      <c r="B108" s="386"/>
      <c r="C108" s="387"/>
      <c r="D108" s="34"/>
      <c r="E108" s="34"/>
      <c r="F108" s="346"/>
    </row>
    <row r="109" spans="1:6" x14ac:dyDescent="0.2">
      <c r="A109" s="345"/>
      <c r="B109" s="386"/>
      <c r="C109" s="387"/>
      <c r="D109" s="34"/>
      <c r="E109" s="34"/>
      <c r="F109" s="346"/>
    </row>
    <row r="110" spans="1:6" x14ac:dyDescent="0.2">
      <c r="A110" s="345"/>
      <c r="B110" s="386"/>
      <c r="C110" s="387"/>
      <c r="D110" s="34"/>
      <c r="E110" s="34"/>
      <c r="F110" s="346"/>
    </row>
    <row r="111" spans="1:6" x14ac:dyDescent="0.2">
      <c r="A111" s="345"/>
      <c r="B111" s="386"/>
      <c r="C111" s="387"/>
      <c r="D111" s="34"/>
      <c r="E111" s="34"/>
      <c r="F111" s="346"/>
    </row>
    <row r="112" spans="1:6" x14ac:dyDescent="0.2">
      <c r="A112" s="345"/>
      <c r="B112" s="386"/>
      <c r="C112" s="387"/>
      <c r="D112" s="34"/>
      <c r="E112" s="34"/>
      <c r="F112" s="346"/>
    </row>
    <row r="113" spans="1:6" x14ac:dyDescent="0.2">
      <c r="A113" s="345"/>
      <c r="B113" s="386"/>
      <c r="C113" s="387"/>
      <c r="D113" s="34"/>
      <c r="E113" s="34"/>
      <c r="F113" s="346"/>
    </row>
    <row r="114" spans="1:6" x14ac:dyDescent="0.2">
      <c r="A114" s="345"/>
      <c r="B114" s="386"/>
      <c r="C114" s="387"/>
      <c r="D114" s="34"/>
      <c r="E114" s="34"/>
      <c r="F114" s="346"/>
    </row>
    <row r="115" spans="1:6" x14ac:dyDescent="0.2">
      <c r="B115" s="386"/>
      <c r="C115" s="387"/>
      <c r="D115" s="34"/>
      <c r="E115" s="34"/>
      <c r="F115" s="346"/>
    </row>
    <row r="116" spans="1:6" x14ac:dyDescent="0.2">
      <c r="B116" s="386"/>
      <c r="C116" s="387"/>
      <c r="D116" s="34"/>
      <c r="E116" s="34"/>
      <c r="F116" s="346"/>
    </row>
    <row r="117" spans="1:6" x14ac:dyDescent="0.2">
      <c r="B117" s="386"/>
      <c r="C117" s="387"/>
      <c r="D117" s="34"/>
      <c r="E117" s="34"/>
      <c r="F117" s="346"/>
    </row>
    <row r="118" spans="1:6" x14ac:dyDescent="0.2">
      <c r="B118" s="386"/>
      <c r="C118" s="387"/>
      <c r="D118" s="34"/>
      <c r="E118" s="34"/>
      <c r="F118" s="346"/>
    </row>
    <row r="119" spans="1:6" x14ac:dyDescent="0.2">
      <c r="B119" s="386"/>
      <c r="C119" s="387"/>
      <c r="D119" s="34"/>
      <c r="E119" s="34"/>
      <c r="F119" s="346"/>
    </row>
    <row r="120" spans="1:6" x14ac:dyDescent="0.2">
      <c r="B120" s="386"/>
      <c r="C120" s="387"/>
      <c r="D120" s="34"/>
      <c r="E120" s="34"/>
      <c r="F120" s="346"/>
    </row>
    <row r="121" spans="1:6" x14ac:dyDescent="0.2">
      <c r="B121" s="386"/>
      <c r="C121" s="387"/>
      <c r="D121" s="34"/>
      <c r="E121" s="34"/>
      <c r="F121" s="346"/>
    </row>
    <row r="122" spans="1:6" x14ac:dyDescent="0.2">
      <c r="B122" s="735"/>
      <c r="C122" s="387"/>
      <c r="D122" s="34"/>
      <c r="E122" s="34"/>
      <c r="F122" s="346"/>
    </row>
    <row r="123" spans="1:6" x14ac:dyDescent="0.2">
      <c r="B123" s="735"/>
      <c r="C123" s="387"/>
      <c r="D123" s="34"/>
      <c r="E123" s="34"/>
      <c r="F123" s="346"/>
    </row>
    <row r="124" spans="1:6" x14ac:dyDescent="0.2">
      <c r="B124" s="735"/>
      <c r="C124" s="387"/>
      <c r="D124" s="34"/>
      <c r="E124" s="34"/>
      <c r="F124" s="346"/>
    </row>
    <row r="125" spans="1:6" x14ac:dyDescent="0.2">
      <c r="B125" s="735"/>
      <c r="C125" s="387"/>
      <c r="D125" s="34"/>
      <c r="E125" s="34"/>
      <c r="F125" s="346"/>
    </row>
    <row r="126" spans="1:6" x14ac:dyDescent="0.2">
      <c r="B126" s="735"/>
      <c r="C126" s="387"/>
      <c r="D126" s="34"/>
      <c r="E126" s="34"/>
      <c r="F126" s="346"/>
    </row>
    <row r="127" spans="1:6" x14ac:dyDescent="0.2">
      <c r="B127" s="735"/>
      <c r="C127" s="387"/>
      <c r="D127" s="34"/>
      <c r="E127" s="34"/>
      <c r="F127" s="346"/>
    </row>
    <row r="128" spans="1:6" x14ac:dyDescent="0.2">
      <c r="B128" s="735"/>
      <c r="C128" s="387"/>
      <c r="D128" s="34"/>
      <c r="E128" s="34"/>
      <c r="F128" s="346"/>
    </row>
    <row r="129" spans="2:6" x14ac:dyDescent="0.2">
      <c r="B129" s="735"/>
      <c r="C129" s="387"/>
      <c r="D129" s="34"/>
      <c r="E129" s="34"/>
      <c r="F129" s="346"/>
    </row>
    <row r="130" spans="2:6" x14ac:dyDescent="0.2">
      <c r="B130" s="735"/>
      <c r="C130" s="387"/>
      <c r="D130" s="34"/>
      <c r="E130" s="34"/>
      <c r="F130" s="346"/>
    </row>
    <row r="131" spans="2:6" x14ac:dyDescent="0.2">
      <c r="B131" s="735"/>
      <c r="C131" s="686"/>
      <c r="D131" s="686"/>
      <c r="E131" s="346"/>
      <c r="F131" s="346"/>
    </row>
    <row r="132" spans="2:6" x14ac:dyDescent="0.2">
      <c r="B132" s="735"/>
      <c r="C132" s="1324"/>
      <c r="D132" s="1324"/>
      <c r="E132" s="741"/>
      <c r="F132" s="346"/>
    </row>
  </sheetData>
  <mergeCells count="11">
    <mergeCell ref="I28:J28"/>
    <mergeCell ref="A1:F1"/>
    <mergeCell ref="E36:F36"/>
    <mergeCell ref="E35:F35"/>
    <mergeCell ref="C132:D132"/>
    <mergeCell ref="A35:C35"/>
    <mergeCell ref="A36:C36"/>
    <mergeCell ref="C74:D74"/>
    <mergeCell ref="B2:D2"/>
    <mergeCell ref="B37:C37"/>
    <mergeCell ref="I32:J32"/>
  </mergeCells>
  <phoneticPr fontId="0" type="noConversion"/>
  <pageMargins left="0.78740157499999996" right="0.78740157499999996" top="0.984251969" bottom="0.984251969" header="0.4921259845" footer="0.4921259845"/>
  <pageSetup paperSize="9" orientation="landscape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Y157"/>
  <sheetViews>
    <sheetView topLeftCell="A67" workbookViewId="0">
      <selection activeCell="V60" sqref="V60"/>
    </sheetView>
  </sheetViews>
  <sheetFormatPr baseColWidth="10" defaultRowHeight="12.75" x14ac:dyDescent="0.2"/>
  <cols>
    <col min="1" max="1" width="3" bestFit="1" customWidth="1"/>
    <col min="2" max="2" width="7.140625" customWidth="1"/>
    <col min="3" max="3" width="4" customWidth="1"/>
    <col min="4" max="5" width="6" customWidth="1"/>
    <col min="6" max="6" width="6.7109375" customWidth="1"/>
    <col min="7" max="9" width="8.5703125" customWidth="1"/>
    <col min="10" max="10" width="4" customWidth="1"/>
    <col min="11" max="11" width="8.5703125" customWidth="1"/>
    <col min="12" max="12" width="4" customWidth="1"/>
    <col min="13" max="13" width="7.140625" customWidth="1"/>
    <col min="14" max="14" width="4" customWidth="1"/>
    <col min="15" max="16" width="6" customWidth="1"/>
    <col min="17" max="17" width="6.7109375" customWidth="1"/>
    <col min="18" max="19" width="8.5703125" customWidth="1"/>
    <col min="20" max="20" width="10.140625" customWidth="1"/>
  </cols>
  <sheetData>
    <row r="1" spans="1:25" ht="15" x14ac:dyDescent="0.25">
      <c r="A1" s="344"/>
      <c r="B1" s="1381" t="s">
        <v>125</v>
      </c>
      <c r="C1" s="1492"/>
      <c r="D1" s="1492"/>
      <c r="E1" s="1492"/>
      <c r="F1" s="1492"/>
      <c r="G1" s="1492"/>
      <c r="H1" s="1492"/>
      <c r="I1" s="1492"/>
      <c r="J1" s="344"/>
      <c r="K1" s="344"/>
      <c r="L1" s="345"/>
      <c r="M1" s="1381" t="s">
        <v>234</v>
      </c>
      <c r="N1" s="1492"/>
      <c r="O1" s="1492"/>
      <c r="P1" s="1492"/>
      <c r="Q1" s="1492"/>
      <c r="R1" s="1492"/>
      <c r="S1" s="1492"/>
      <c r="T1" s="1492"/>
    </row>
    <row r="2" spans="1:25" ht="13.5" thickBot="1" x14ac:dyDescent="0.25">
      <c r="A2" s="344"/>
      <c r="D2" s="1488" t="s">
        <v>167</v>
      </c>
      <c r="E2" s="1488"/>
      <c r="F2" s="1488"/>
      <c r="G2" s="1488"/>
      <c r="H2" s="1488"/>
      <c r="I2" s="56"/>
      <c r="J2" s="556"/>
      <c r="K2" s="555"/>
      <c r="O2" s="56"/>
      <c r="P2" s="56"/>
      <c r="Q2" s="56"/>
      <c r="R2" s="56"/>
      <c r="S2" s="56"/>
      <c r="T2" s="56"/>
    </row>
    <row r="3" spans="1:25" ht="15" x14ac:dyDescent="0.25">
      <c r="A3" s="1213"/>
      <c r="B3" s="8" t="s">
        <v>3</v>
      </c>
      <c r="C3" s="392" t="s">
        <v>0</v>
      </c>
      <c r="D3" s="73" t="s">
        <v>7</v>
      </c>
      <c r="E3" s="37" t="s">
        <v>8</v>
      </c>
      <c r="F3" s="38" t="s">
        <v>2</v>
      </c>
      <c r="G3" s="93" t="s">
        <v>10</v>
      </c>
      <c r="H3" s="92" t="s">
        <v>11</v>
      </c>
      <c r="I3" s="4"/>
      <c r="J3" s="1210"/>
      <c r="K3" s="1210"/>
      <c r="L3" s="1261" t="s">
        <v>0</v>
      </c>
      <c r="M3" s="8" t="s">
        <v>3</v>
      </c>
      <c r="N3" s="1259" t="s">
        <v>0</v>
      </c>
      <c r="O3" s="73" t="s">
        <v>7</v>
      </c>
      <c r="P3" s="37" t="s">
        <v>8</v>
      </c>
      <c r="Q3" s="38" t="s">
        <v>2</v>
      </c>
      <c r="R3" s="93" t="s">
        <v>10</v>
      </c>
      <c r="S3" s="92" t="s">
        <v>11</v>
      </c>
      <c r="T3" s="4"/>
    </row>
    <row r="4" spans="1:25" ht="13.5" thickBot="1" x14ac:dyDescent="0.25">
      <c r="A4" s="344"/>
      <c r="B4" s="31"/>
      <c r="C4" s="393"/>
      <c r="D4" s="58" t="s">
        <v>1</v>
      </c>
      <c r="E4" s="30" t="s">
        <v>1</v>
      </c>
      <c r="F4" s="71" t="s">
        <v>14</v>
      </c>
      <c r="G4" s="10" t="s">
        <v>230</v>
      </c>
      <c r="H4" s="393" t="s">
        <v>230</v>
      </c>
      <c r="I4" s="5"/>
      <c r="J4" s="738"/>
      <c r="K4" s="451"/>
      <c r="L4" s="1261" t="s">
        <v>6</v>
      </c>
      <c r="M4" s="31"/>
      <c r="N4" s="393"/>
      <c r="O4" s="58" t="s">
        <v>1</v>
      </c>
      <c r="P4" s="30" t="s">
        <v>1</v>
      </c>
      <c r="Q4" s="71" t="s">
        <v>14</v>
      </c>
      <c r="R4" s="10" t="s">
        <v>230</v>
      </c>
      <c r="S4" s="393" t="s">
        <v>230</v>
      </c>
      <c r="T4" s="1258"/>
    </row>
    <row r="5" spans="1:25" x14ac:dyDescent="0.2">
      <c r="A5" s="344"/>
      <c r="B5" s="95"/>
      <c r="C5" s="3"/>
      <c r="D5" s="139"/>
      <c r="E5" s="1171"/>
      <c r="F5" s="384"/>
      <c r="G5" s="139"/>
      <c r="H5" s="384"/>
      <c r="I5" s="345"/>
      <c r="J5" s="346"/>
      <c r="K5" s="346"/>
      <c r="L5" s="345"/>
      <c r="M5" s="1317"/>
      <c r="N5" s="1171"/>
      <c r="O5" s="1171"/>
      <c r="P5" s="1171"/>
      <c r="Q5" s="1171"/>
      <c r="R5" s="1171"/>
      <c r="S5" s="384"/>
      <c r="T5" s="345"/>
    </row>
    <row r="6" spans="1:25" x14ac:dyDescent="0.2">
      <c r="A6" s="344"/>
      <c r="B6" s="95">
        <v>37257</v>
      </c>
      <c r="C6" s="1204">
        <v>1</v>
      </c>
      <c r="D6" s="114">
        <v>121.12</v>
      </c>
      <c r="E6" s="115">
        <v>2.95</v>
      </c>
      <c r="F6" s="102">
        <v>366.5</v>
      </c>
      <c r="G6" s="106">
        <f>F6*1000*COS(RADIANS(D6))</f>
        <v>-189418.99799769459</v>
      </c>
      <c r="H6" s="90">
        <f>F6*1000*SIN(RADIANS(D6))</f>
        <v>313755.78591884067</v>
      </c>
      <c r="I6" s="464"/>
      <c r="J6" s="1015"/>
      <c r="K6" s="465"/>
      <c r="L6" s="345">
        <f t="shared" ref="L6:L20" si="0">L7-1</f>
        <v>127</v>
      </c>
      <c r="M6" s="95">
        <v>39573</v>
      </c>
      <c r="N6" s="1310">
        <v>1</v>
      </c>
      <c r="O6" s="1262">
        <v>37.6</v>
      </c>
      <c r="P6" s="1263">
        <v>4.8</v>
      </c>
      <c r="Q6" s="1264">
        <v>359</v>
      </c>
      <c r="R6" s="106">
        <f>Q6*1000*COS(RADIANS(O6))</f>
        <v>284431.98196451348</v>
      </c>
      <c r="S6" s="90">
        <f>Q6*1000*SIN(RADIANS(O6))</f>
        <v>219042.11384055507</v>
      </c>
      <c r="T6" s="464" t="s">
        <v>227</v>
      </c>
    </row>
    <row r="7" spans="1:25" x14ac:dyDescent="0.2">
      <c r="A7" s="344"/>
      <c r="B7" s="94">
        <f>B6+1</f>
        <v>37258</v>
      </c>
      <c r="C7" s="62">
        <f>C6+1</f>
        <v>2</v>
      </c>
      <c r="D7" s="112">
        <v>135.68</v>
      </c>
      <c r="E7" s="113">
        <v>3.95</v>
      </c>
      <c r="F7" s="101">
        <v>365.5</v>
      </c>
      <c r="G7" s="106">
        <f t="shared" ref="G7:G64" si="1">F7*1000*COS(RADIANS(D7))</f>
        <v>-261496.5719195283</v>
      </c>
      <c r="H7" s="90">
        <f t="shared" ref="H7:H64" si="2">F7*1000*SIN(RADIANS(D7))</f>
        <v>255362.08190397997</v>
      </c>
      <c r="I7" s="345"/>
      <c r="J7" s="1015"/>
      <c r="K7" s="465"/>
      <c r="L7" s="345">
        <f t="shared" si="0"/>
        <v>128</v>
      </c>
      <c r="M7" s="94">
        <f t="shared" ref="M7:M36" si="3">M6+1</f>
        <v>39574</v>
      </c>
      <c r="N7" s="1265">
        <f t="shared" ref="N7:N36" si="4">N6+1</f>
        <v>2</v>
      </c>
      <c r="O7" s="1266">
        <v>52.8</v>
      </c>
      <c r="P7" s="1267">
        <v>5</v>
      </c>
      <c r="Q7" s="1318">
        <v>357.8</v>
      </c>
      <c r="R7" s="1268">
        <f t="shared" ref="R7:R36" si="5">Q7*1000*COS(RADIANS(O7))</f>
        <v>216325.56329775776</v>
      </c>
      <c r="S7" s="1269">
        <f t="shared" ref="S7:S36" si="6">Q7*1000*SIN(RADIANS(O7))</f>
        <v>284998.4046690574</v>
      </c>
      <c r="T7" s="1270" t="s">
        <v>12</v>
      </c>
    </row>
    <row r="8" spans="1:25" x14ac:dyDescent="0.2">
      <c r="A8" s="344"/>
      <c r="B8" s="95">
        <f t="shared" ref="B8:C64" si="7">B7+1</f>
        <v>37259</v>
      </c>
      <c r="C8" s="62">
        <f t="shared" si="7"/>
        <v>3</v>
      </c>
      <c r="D8" s="114">
        <v>150.27000000000001</v>
      </c>
      <c r="E8" s="115">
        <v>4.7</v>
      </c>
      <c r="F8" s="102">
        <v>365.7</v>
      </c>
      <c r="G8" s="106">
        <f t="shared" si="1"/>
        <v>-317563.63082881406</v>
      </c>
      <c r="H8" s="90">
        <f t="shared" si="2"/>
        <v>181355.53582623467</v>
      </c>
      <c r="I8" s="466"/>
      <c r="J8" s="1015"/>
      <c r="K8" s="465"/>
      <c r="L8" s="345">
        <f t="shared" si="0"/>
        <v>129</v>
      </c>
      <c r="M8" s="95">
        <f t="shared" si="3"/>
        <v>39575</v>
      </c>
      <c r="N8" s="1265">
        <f t="shared" si="4"/>
        <v>3</v>
      </c>
      <c r="O8" s="1262">
        <v>68.099999999999994</v>
      </c>
      <c r="P8" s="1263">
        <v>4.9000000000000004</v>
      </c>
      <c r="Q8" s="1271">
        <v>358.5</v>
      </c>
      <c r="R8" s="106">
        <f t="shared" si="5"/>
        <v>133716.1200534275</v>
      </c>
      <c r="S8" s="90">
        <f t="shared" si="6"/>
        <v>332629.29702276282</v>
      </c>
      <c r="T8" s="466"/>
    </row>
    <row r="9" spans="1:25" x14ac:dyDescent="0.2">
      <c r="A9" s="344"/>
      <c r="B9" s="95">
        <f t="shared" si="7"/>
        <v>37260</v>
      </c>
      <c r="C9" s="62">
        <f t="shared" si="7"/>
        <v>4</v>
      </c>
      <c r="D9" s="114">
        <v>164.79</v>
      </c>
      <c r="E9" s="115">
        <v>5.14</v>
      </c>
      <c r="F9" s="102">
        <v>367</v>
      </c>
      <c r="G9" s="106">
        <f t="shared" si="1"/>
        <v>-354144.25392078276</v>
      </c>
      <c r="H9" s="90">
        <f t="shared" si="2"/>
        <v>96285.239859970985</v>
      </c>
      <c r="I9" s="466"/>
      <c r="J9" s="1015"/>
      <c r="K9" s="465"/>
      <c r="L9" s="345">
        <f t="shared" si="0"/>
        <v>130</v>
      </c>
      <c r="M9" s="95">
        <f t="shared" si="3"/>
        <v>39576</v>
      </c>
      <c r="N9" s="1265">
        <f t="shared" si="4"/>
        <v>4</v>
      </c>
      <c r="O9" s="1262">
        <v>83.2</v>
      </c>
      <c r="P9" s="1263">
        <v>4.4000000000000004</v>
      </c>
      <c r="Q9" s="1264">
        <v>360.9</v>
      </c>
      <c r="R9" s="106">
        <f t="shared" si="5"/>
        <v>42731.99216181619</v>
      </c>
      <c r="S9" s="90">
        <f t="shared" si="6"/>
        <v>358361.25187564921</v>
      </c>
      <c r="T9" s="466"/>
    </row>
    <row r="10" spans="1:25" x14ac:dyDescent="0.2">
      <c r="A10" s="344"/>
      <c r="B10" s="95">
        <f t="shared" si="7"/>
        <v>37261</v>
      </c>
      <c r="C10" s="62">
        <f t="shared" si="7"/>
        <v>5</v>
      </c>
      <c r="D10" s="114">
        <v>179.18</v>
      </c>
      <c r="E10" s="115">
        <v>5.26</v>
      </c>
      <c r="F10" s="102">
        <v>369.1</v>
      </c>
      <c r="G10" s="106">
        <f t="shared" si="1"/>
        <v>-369062.20023702248</v>
      </c>
      <c r="H10" s="90">
        <f t="shared" si="2"/>
        <v>5282.2680931523519</v>
      </c>
      <c r="I10" s="466"/>
      <c r="J10" s="1015"/>
      <c r="K10" s="465"/>
      <c r="L10" s="345">
        <f t="shared" si="0"/>
        <v>131</v>
      </c>
      <c r="M10" s="95">
        <f t="shared" si="3"/>
        <v>39577</v>
      </c>
      <c r="N10" s="1265">
        <f t="shared" si="4"/>
        <v>5</v>
      </c>
      <c r="O10" s="1262">
        <v>97.9</v>
      </c>
      <c r="P10" s="1263">
        <v>3.6</v>
      </c>
      <c r="Q10" s="1264">
        <v>364.9</v>
      </c>
      <c r="R10" s="106">
        <f t="shared" si="5"/>
        <v>-50153.514848954823</v>
      </c>
      <c r="S10" s="90">
        <f t="shared" si="6"/>
        <v>361436.90313565888</v>
      </c>
      <c r="T10" s="466"/>
    </row>
    <row r="11" spans="1:25" x14ac:dyDescent="0.2">
      <c r="A11" s="344"/>
      <c r="B11" s="95">
        <f t="shared" si="7"/>
        <v>37262</v>
      </c>
      <c r="C11" s="62">
        <f t="shared" si="7"/>
        <v>6</v>
      </c>
      <c r="D11" s="114">
        <v>193.36</v>
      </c>
      <c r="E11" s="115">
        <v>5.05</v>
      </c>
      <c r="F11" s="102">
        <v>371.7</v>
      </c>
      <c r="G11" s="106">
        <f t="shared" si="1"/>
        <v>-361640.84336092143</v>
      </c>
      <c r="H11" s="90">
        <f t="shared" si="2"/>
        <v>-85888.243742676816</v>
      </c>
      <c r="I11" s="466"/>
      <c r="J11" s="1015"/>
      <c r="K11" s="465"/>
      <c r="L11" s="345">
        <f t="shared" si="0"/>
        <v>132</v>
      </c>
      <c r="M11" s="95">
        <f t="shared" si="3"/>
        <v>39578</v>
      </c>
      <c r="N11" s="1265">
        <f t="shared" si="4"/>
        <v>6</v>
      </c>
      <c r="O11" s="1262">
        <v>112.3</v>
      </c>
      <c r="P11" s="1263">
        <v>2.6</v>
      </c>
      <c r="Q11" s="1264">
        <v>369.8</v>
      </c>
      <c r="R11" s="106">
        <f t="shared" si="5"/>
        <v>-140322.88779382606</v>
      </c>
      <c r="S11" s="90">
        <f t="shared" si="6"/>
        <v>342142.55385906226</v>
      </c>
      <c r="T11" s="466"/>
      <c r="X11" s="56"/>
      <c r="Y11" s="56"/>
    </row>
    <row r="12" spans="1:25" x14ac:dyDescent="0.2">
      <c r="A12" s="344"/>
      <c r="B12" s="95">
        <f t="shared" si="7"/>
        <v>37263</v>
      </c>
      <c r="C12" s="62">
        <f t="shared" si="7"/>
        <v>7</v>
      </c>
      <c r="D12" s="114">
        <v>207.3</v>
      </c>
      <c r="E12" s="115">
        <v>4.55</v>
      </c>
      <c r="F12" s="102">
        <v>374.7</v>
      </c>
      <c r="G12" s="106">
        <f t="shared" si="1"/>
        <v>-332964.87707580935</v>
      </c>
      <c r="H12" s="90">
        <f t="shared" si="2"/>
        <v>-171855.9880652728</v>
      </c>
      <c r="I12" s="466"/>
      <c r="J12" s="1015"/>
      <c r="K12" s="465"/>
      <c r="L12" s="345">
        <f t="shared" si="0"/>
        <v>133</v>
      </c>
      <c r="M12" s="95">
        <f t="shared" si="3"/>
        <v>39579</v>
      </c>
      <c r="N12" s="1265">
        <f t="shared" si="4"/>
        <v>7</v>
      </c>
      <c r="O12" s="1262">
        <v>126.2</v>
      </c>
      <c r="P12" s="1263">
        <v>1.5</v>
      </c>
      <c r="Q12" s="1264">
        <v>375.3</v>
      </c>
      <c r="R12" s="106">
        <f t="shared" si="5"/>
        <v>-221654.30705775804</v>
      </c>
      <c r="S12" s="90">
        <f t="shared" si="6"/>
        <v>302852.20514756883</v>
      </c>
      <c r="T12" s="466"/>
    </row>
    <row r="13" spans="1:25" x14ac:dyDescent="0.2">
      <c r="A13" s="344"/>
      <c r="B13" s="95">
        <f t="shared" si="7"/>
        <v>37264</v>
      </c>
      <c r="C13" s="62">
        <f t="shared" si="7"/>
        <v>8</v>
      </c>
      <c r="D13" s="114">
        <v>221.02</v>
      </c>
      <c r="E13" s="115">
        <v>3.79</v>
      </c>
      <c r="F13" s="102">
        <v>377.9</v>
      </c>
      <c r="G13" s="106">
        <f t="shared" si="1"/>
        <v>-285118.1909435729</v>
      </c>
      <c r="H13" s="90">
        <f t="shared" si="2"/>
        <v>-248024.24718777862</v>
      </c>
      <c r="I13" s="466"/>
      <c r="J13" s="1015"/>
      <c r="K13" s="465"/>
      <c r="L13" s="345">
        <f t="shared" si="0"/>
        <v>134</v>
      </c>
      <c r="M13" s="95">
        <f t="shared" si="3"/>
        <v>39580</v>
      </c>
      <c r="N13" s="1265">
        <f t="shared" si="4"/>
        <v>8</v>
      </c>
      <c r="O13" s="1262">
        <v>139.69999999999999</v>
      </c>
      <c r="P13" s="1263">
        <v>0.3</v>
      </c>
      <c r="Q13" s="1264">
        <v>381</v>
      </c>
      <c r="R13" s="106">
        <f t="shared" si="5"/>
        <v>-290576.63361405715</v>
      </c>
      <c r="S13" s="90">
        <f t="shared" si="6"/>
        <v>246426.90599348518</v>
      </c>
      <c r="T13" s="466"/>
    </row>
    <row r="14" spans="1:25" x14ac:dyDescent="0.2">
      <c r="A14" s="344"/>
      <c r="B14" s="95">
        <f t="shared" si="7"/>
        <v>37265</v>
      </c>
      <c r="C14" s="62">
        <f t="shared" si="7"/>
        <v>9</v>
      </c>
      <c r="D14" s="114">
        <v>234.49</v>
      </c>
      <c r="E14" s="115">
        <v>2.84</v>
      </c>
      <c r="F14" s="102">
        <v>381.2</v>
      </c>
      <c r="G14" s="106">
        <f t="shared" si="1"/>
        <v>-221418.12803901485</v>
      </c>
      <c r="H14" s="90">
        <f t="shared" si="2"/>
        <v>-310302.19557021896</v>
      </c>
      <c r="I14" s="466"/>
      <c r="J14" s="1015"/>
      <c r="K14" s="465"/>
      <c r="L14" s="345">
        <f t="shared" si="0"/>
        <v>135</v>
      </c>
      <c r="M14" s="95">
        <f t="shared" si="3"/>
        <v>39581</v>
      </c>
      <c r="N14" s="1265">
        <f t="shared" si="4"/>
        <v>9</v>
      </c>
      <c r="O14" s="1262">
        <v>152.80000000000001</v>
      </c>
      <c r="P14" s="1263">
        <v>-0.8</v>
      </c>
      <c r="Q14" s="1264">
        <v>386.4</v>
      </c>
      <c r="R14" s="106">
        <f t="shared" si="5"/>
        <v>-343670.48663975735</v>
      </c>
      <c r="S14" s="90">
        <f t="shared" si="6"/>
        <v>176622.63901547939</v>
      </c>
      <c r="T14" s="466"/>
    </row>
    <row r="15" spans="1:25" x14ac:dyDescent="0.2">
      <c r="A15" s="344"/>
      <c r="B15" s="95">
        <f t="shared" si="7"/>
        <v>37266</v>
      </c>
      <c r="C15" s="62">
        <f t="shared" si="7"/>
        <v>10</v>
      </c>
      <c r="D15" s="114">
        <v>247.72</v>
      </c>
      <c r="E15" s="115">
        <v>1.75</v>
      </c>
      <c r="F15" s="102">
        <v>384.5</v>
      </c>
      <c r="G15" s="106">
        <f t="shared" si="1"/>
        <v>-145776.7066720911</v>
      </c>
      <c r="H15" s="90">
        <f t="shared" si="2"/>
        <v>-355794.04406459519</v>
      </c>
      <c r="I15" s="466"/>
      <c r="J15" s="1015"/>
      <c r="K15" s="465"/>
      <c r="L15" s="345">
        <f t="shared" si="0"/>
        <v>136</v>
      </c>
      <c r="M15" s="95">
        <f t="shared" si="3"/>
        <v>39582</v>
      </c>
      <c r="N15" s="1265">
        <f t="shared" si="4"/>
        <v>10</v>
      </c>
      <c r="O15" s="1262">
        <v>165.6</v>
      </c>
      <c r="P15" s="1263">
        <v>-1.9</v>
      </c>
      <c r="Q15" s="1264">
        <v>391.4</v>
      </c>
      <c r="R15" s="106">
        <f t="shared" si="5"/>
        <v>-379103.44926574623</v>
      </c>
      <c r="S15" s="90">
        <f t="shared" si="6"/>
        <v>97337.221836324185</v>
      </c>
      <c r="T15" s="466"/>
    </row>
    <row r="16" spans="1:25" x14ac:dyDescent="0.2">
      <c r="A16" s="344"/>
      <c r="B16" s="94">
        <f t="shared" si="7"/>
        <v>37267</v>
      </c>
      <c r="C16" s="62">
        <f t="shared" si="7"/>
        <v>11</v>
      </c>
      <c r="D16" s="112">
        <v>260.75</v>
      </c>
      <c r="E16" s="113">
        <v>0.59</v>
      </c>
      <c r="F16" s="101">
        <v>387.8</v>
      </c>
      <c r="G16" s="106">
        <f t="shared" si="1"/>
        <v>-62335.966941163722</v>
      </c>
      <c r="H16" s="90">
        <f t="shared" si="2"/>
        <v>-382757.19095205795</v>
      </c>
      <c r="I16" s="345"/>
      <c r="J16" s="1015"/>
      <c r="K16" s="465"/>
      <c r="L16" s="345">
        <f t="shared" si="0"/>
        <v>137</v>
      </c>
      <c r="M16" s="94">
        <f t="shared" si="3"/>
        <v>39583</v>
      </c>
      <c r="N16" s="1265">
        <f t="shared" si="4"/>
        <v>11</v>
      </c>
      <c r="O16" s="1266">
        <v>178.1</v>
      </c>
      <c r="P16" s="1267">
        <v>-2.9</v>
      </c>
      <c r="Q16" s="1271">
        <v>395.6</v>
      </c>
      <c r="R16" s="106">
        <f t="shared" si="5"/>
        <v>-395382.50542655913</v>
      </c>
      <c r="S16" s="90">
        <f t="shared" si="6"/>
        <v>13116.188570501106</v>
      </c>
      <c r="T16" s="345"/>
    </row>
    <row r="17" spans="1:20" x14ac:dyDescent="0.2">
      <c r="A17" s="344"/>
      <c r="B17" s="95">
        <f t="shared" si="7"/>
        <v>37268</v>
      </c>
      <c r="C17" s="62">
        <f t="shared" si="7"/>
        <v>12</v>
      </c>
      <c r="D17" s="114">
        <v>273.56</v>
      </c>
      <c r="E17" s="115">
        <v>-0.59</v>
      </c>
      <c r="F17" s="102">
        <v>391.1</v>
      </c>
      <c r="G17" s="106">
        <f t="shared" si="1"/>
        <v>24284.865698090558</v>
      </c>
      <c r="H17" s="90">
        <f t="shared" si="2"/>
        <v>-390345.30264629249</v>
      </c>
      <c r="I17" s="464"/>
      <c r="J17" s="1015"/>
      <c r="K17" s="465"/>
      <c r="L17" s="345">
        <f t="shared" si="0"/>
        <v>138</v>
      </c>
      <c r="M17" s="95">
        <f t="shared" si="3"/>
        <v>39584</v>
      </c>
      <c r="N17" s="1265">
        <f t="shared" si="4"/>
        <v>12</v>
      </c>
      <c r="O17" s="1262">
        <v>190.3</v>
      </c>
      <c r="P17" s="1263">
        <v>-3.7</v>
      </c>
      <c r="Q17" s="1264">
        <v>399.2</v>
      </c>
      <c r="R17" s="106">
        <f t="shared" si="5"/>
        <v>-392766.90714306978</v>
      </c>
      <c r="S17" s="90">
        <f t="shared" si="6"/>
        <v>-71377.844274446848</v>
      </c>
      <c r="T17" s="464"/>
    </row>
    <row r="18" spans="1:20" x14ac:dyDescent="0.2">
      <c r="A18" s="344"/>
      <c r="B18" s="95">
        <f t="shared" si="7"/>
        <v>37269</v>
      </c>
      <c r="C18" s="62">
        <f t="shared" si="7"/>
        <v>13</v>
      </c>
      <c r="D18" s="114">
        <v>286.18</v>
      </c>
      <c r="E18" s="115">
        <v>-1.71</v>
      </c>
      <c r="F18" s="102">
        <v>394.4</v>
      </c>
      <c r="G18" s="106">
        <f t="shared" si="1"/>
        <v>109901.88038018656</v>
      </c>
      <c r="H18" s="90">
        <f t="shared" si="2"/>
        <v>-378778.21570003091</v>
      </c>
      <c r="I18" s="450"/>
      <c r="J18" s="1015"/>
      <c r="K18" s="465"/>
      <c r="L18" s="345">
        <f t="shared" si="0"/>
        <v>139</v>
      </c>
      <c r="M18" s="95">
        <f t="shared" si="3"/>
        <v>39585</v>
      </c>
      <c r="N18" s="1265">
        <f t="shared" si="4"/>
        <v>13</v>
      </c>
      <c r="O18" s="1262">
        <v>202.5</v>
      </c>
      <c r="P18" s="1263">
        <v>-4.3</v>
      </c>
      <c r="Q18" s="1264">
        <v>402</v>
      </c>
      <c r="R18" s="106">
        <f t="shared" si="5"/>
        <v>-371399.5720695373</v>
      </c>
      <c r="S18" s="90">
        <f t="shared" si="6"/>
        <v>-153838.73981076604</v>
      </c>
      <c r="T18" s="1260"/>
    </row>
    <row r="19" spans="1:20" x14ac:dyDescent="0.2">
      <c r="A19" s="344"/>
      <c r="B19" s="94">
        <f t="shared" si="7"/>
        <v>37270</v>
      </c>
      <c r="C19" s="62">
        <f t="shared" si="7"/>
        <v>14</v>
      </c>
      <c r="D19" s="112">
        <v>298.62</v>
      </c>
      <c r="E19" s="113">
        <v>-2.74</v>
      </c>
      <c r="F19" s="101">
        <v>397.6</v>
      </c>
      <c r="G19" s="106">
        <f t="shared" si="1"/>
        <v>190449.72513155692</v>
      </c>
      <c r="H19" s="90">
        <f t="shared" si="2"/>
        <v>-349019.57279974205</v>
      </c>
      <c r="I19" s="466"/>
      <c r="J19" s="1015"/>
      <c r="K19" s="465"/>
      <c r="L19" s="345">
        <f t="shared" si="0"/>
        <v>140</v>
      </c>
      <c r="M19" s="94">
        <f t="shared" si="3"/>
        <v>39586</v>
      </c>
      <c r="N19" s="1265">
        <f t="shared" si="4"/>
        <v>14</v>
      </c>
      <c r="O19" s="1266">
        <v>214.5</v>
      </c>
      <c r="P19" s="1267">
        <v>-4.7</v>
      </c>
      <c r="Q19" s="1271">
        <v>404.1</v>
      </c>
      <c r="R19" s="106">
        <f t="shared" si="5"/>
        <v>-333029.39282215649</v>
      </c>
      <c r="S19" s="90">
        <f t="shared" si="6"/>
        <v>-228884.76034132499</v>
      </c>
      <c r="T19" s="466"/>
    </row>
    <row r="20" spans="1:20" x14ac:dyDescent="0.2">
      <c r="A20" s="344"/>
      <c r="B20" s="94">
        <f t="shared" si="7"/>
        <v>37271</v>
      </c>
      <c r="C20" s="62">
        <f t="shared" si="7"/>
        <v>15</v>
      </c>
      <c r="D20" s="112">
        <v>310.89</v>
      </c>
      <c r="E20" s="113">
        <v>-3.62</v>
      </c>
      <c r="F20" s="101">
        <v>400.4</v>
      </c>
      <c r="G20" s="106">
        <f t="shared" si="1"/>
        <v>262105.39652446768</v>
      </c>
      <c r="H20" s="90">
        <f t="shared" si="2"/>
        <v>-302689.47968628106</v>
      </c>
      <c r="I20" s="464"/>
      <c r="J20" s="1015"/>
      <c r="K20" s="465"/>
      <c r="L20" s="345">
        <f t="shared" si="0"/>
        <v>141</v>
      </c>
      <c r="M20" s="94">
        <f t="shared" si="3"/>
        <v>39587</v>
      </c>
      <c r="N20" s="1265">
        <f t="shared" si="4"/>
        <v>15</v>
      </c>
      <c r="O20" s="1266">
        <v>226.5</v>
      </c>
      <c r="P20" s="1267">
        <v>-5</v>
      </c>
      <c r="Q20" s="1271">
        <v>405.5</v>
      </c>
      <c r="R20" s="106">
        <f t="shared" si="5"/>
        <v>-279127.78044381726</v>
      </c>
      <c r="S20" s="90">
        <f t="shared" si="6"/>
        <v>-294139.30744548264</v>
      </c>
      <c r="T20" s="464"/>
    </row>
    <row r="21" spans="1:20" x14ac:dyDescent="0.2">
      <c r="A21" s="344"/>
      <c r="B21" s="94">
        <f t="shared" si="7"/>
        <v>37272</v>
      </c>
      <c r="C21" s="62">
        <f t="shared" si="7"/>
        <v>16</v>
      </c>
      <c r="D21" s="112">
        <v>323</v>
      </c>
      <c r="E21" s="113">
        <v>-4.32</v>
      </c>
      <c r="F21" s="101">
        <v>402.8</v>
      </c>
      <c r="G21" s="106">
        <f t="shared" si="1"/>
        <v>321690.38344704953</v>
      </c>
      <c r="H21" s="90">
        <f t="shared" si="2"/>
        <v>-242411.09132564504</v>
      </c>
      <c r="I21" s="346"/>
      <c r="J21" s="1015"/>
      <c r="K21" s="465"/>
      <c r="L21" s="345">
        <v>142</v>
      </c>
      <c r="M21" s="94">
        <f t="shared" si="3"/>
        <v>39588</v>
      </c>
      <c r="N21" s="1265">
        <f t="shared" si="4"/>
        <v>16</v>
      </c>
      <c r="O21" s="1266">
        <v>238.4</v>
      </c>
      <c r="P21" s="1267">
        <v>-5</v>
      </c>
      <c r="Q21" s="1272">
        <v>406.3</v>
      </c>
      <c r="R21" s="1273">
        <f t="shared" si="5"/>
        <v>-212895.47359564301</v>
      </c>
      <c r="S21" s="1274">
        <f t="shared" si="6"/>
        <v>-346056.65334232029</v>
      </c>
      <c r="T21" s="1275" t="s">
        <v>228</v>
      </c>
    </row>
    <row r="22" spans="1:20" x14ac:dyDescent="0.2">
      <c r="A22" s="344"/>
      <c r="B22" s="94">
        <f t="shared" si="7"/>
        <v>37273</v>
      </c>
      <c r="C22" s="62">
        <f t="shared" si="7"/>
        <v>17</v>
      </c>
      <c r="D22" s="112">
        <v>334.98</v>
      </c>
      <c r="E22" s="113">
        <v>-4.83</v>
      </c>
      <c r="F22" s="101">
        <v>404.5</v>
      </c>
      <c r="G22" s="106">
        <f t="shared" si="1"/>
        <v>366541.80503451178</v>
      </c>
      <c r="H22" s="90">
        <f t="shared" si="2"/>
        <v>-171077.04452100507</v>
      </c>
      <c r="I22" s="450"/>
      <c r="J22" s="1015"/>
      <c r="K22" s="465"/>
      <c r="L22">
        <f t="shared" ref="L22:L36" si="8">L21+1</f>
        <v>143</v>
      </c>
      <c r="M22" s="94">
        <f t="shared" si="3"/>
        <v>39589</v>
      </c>
      <c r="N22" s="1265">
        <f t="shared" si="4"/>
        <v>17</v>
      </c>
      <c r="O22" s="1266">
        <v>250.2</v>
      </c>
      <c r="P22" s="1267">
        <v>-4.8</v>
      </c>
      <c r="Q22" s="1271">
        <v>406.3</v>
      </c>
      <c r="R22" s="106">
        <f t="shared" si="5"/>
        <v>-137629.21699566187</v>
      </c>
      <c r="S22" s="90">
        <f t="shared" si="6"/>
        <v>-382279.85642610182</v>
      </c>
      <c r="T22" s="1260"/>
    </row>
    <row r="23" spans="1:20" x14ac:dyDescent="0.2">
      <c r="A23" s="344"/>
      <c r="B23" s="94">
        <f t="shared" si="7"/>
        <v>37274</v>
      </c>
      <c r="C23" s="62">
        <f t="shared" si="7"/>
        <v>18</v>
      </c>
      <c r="D23" s="112">
        <v>346.88</v>
      </c>
      <c r="E23" s="113">
        <v>-5.12</v>
      </c>
      <c r="F23" s="1312">
        <v>405.4</v>
      </c>
      <c r="G23" s="1268">
        <f t="shared" si="1"/>
        <v>394817.75935975095</v>
      </c>
      <c r="H23" s="1269">
        <f t="shared" si="2"/>
        <v>-92022.263035342636</v>
      </c>
      <c r="I23" s="1309" t="s">
        <v>13</v>
      </c>
      <c r="J23" s="1015"/>
      <c r="K23" s="465"/>
      <c r="L23">
        <f t="shared" si="8"/>
        <v>144</v>
      </c>
      <c r="M23" s="94">
        <f t="shared" si="3"/>
        <v>39590</v>
      </c>
      <c r="N23" s="1265">
        <f t="shared" si="4"/>
        <v>18</v>
      </c>
      <c r="O23" s="1266">
        <v>262.10000000000002</v>
      </c>
      <c r="P23" s="1267">
        <v>-4.3</v>
      </c>
      <c r="Q23" s="1276">
        <v>405.7</v>
      </c>
      <c r="R23" s="106">
        <f t="shared" si="5"/>
        <v>-55761.252327270238</v>
      </c>
      <c r="S23" s="90">
        <f t="shared" si="6"/>
        <v>-401849.6892357819</v>
      </c>
    </row>
    <row r="24" spans="1:20" x14ac:dyDescent="0.2">
      <c r="A24" s="344"/>
      <c r="B24" s="95">
        <f t="shared" si="7"/>
        <v>37275</v>
      </c>
      <c r="C24" s="62">
        <f t="shared" si="7"/>
        <v>19</v>
      </c>
      <c r="D24" s="114">
        <v>358.73</v>
      </c>
      <c r="E24" s="115">
        <v>-5.19</v>
      </c>
      <c r="F24" s="102">
        <v>405.3</v>
      </c>
      <c r="G24" s="106">
        <f t="shared" si="1"/>
        <v>405200.43859797338</v>
      </c>
      <c r="H24" s="90">
        <f t="shared" si="2"/>
        <v>-8983.0150845929147</v>
      </c>
      <c r="I24" s="4"/>
      <c r="J24" s="1015"/>
      <c r="K24" s="465"/>
      <c r="L24">
        <f t="shared" si="8"/>
        <v>145</v>
      </c>
      <c r="M24" s="95">
        <f t="shared" si="3"/>
        <v>39591</v>
      </c>
      <c r="N24" s="1265">
        <f t="shared" si="4"/>
        <v>19</v>
      </c>
      <c r="O24" s="1262">
        <v>274</v>
      </c>
      <c r="P24" s="1263">
        <v>-3.7</v>
      </c>
      <c r="Q24" s="1264">
        <v>404.4</v>
      </c>
      <c r="R24" s="106">
        <f t="shared" si="5"/>
        <v>28209.517982124238</v>
      </c>
      <c r="S24" s="90">
        <f t="shared" si="6"/>
        <v>-403414.90192507295</v>
      </c>
      <c r="T24" s="4"/>
    </row>
    <row r="25" spans="1:20" x14ac:dyDescent="0.2">
      <c r="A25" s="344"/>
      <c r="B25" s="95">
        <f t="shared" si="7"/>
        <v>37276</v>
      </c>
      <c r="C25" s="62">
        <f t="shared" si="7"/>
        <v>20</v>
      </c>
      <c r="D25" s="114">
        <v>10.6</v>
      </c>
      <c r="E25" s="115">
        <v>-5.04</v>
      </c>
      <c r="F25" s="102">
        <v>404</v>
      </c>
      <c r="G25" s="106">
        <f t="shared" si="1"/>
        <v>397105.88105641992</v>
      </c>
      <c r="H25" s="90">
        <f t="shared" si="2"/>
        <v>74316.345647538954</v>
      </c>
      <c r="J25" s="1015"/>
      <c r="K25" s="465"/>
      <c r="L25">
        <f t="shared" si="8"/>
        <v>146</v>
      </c>
      <c r="M25" s="95">
        <f t="shared" si="3"/>
        <v>39592</v>
      </c>
      <c r="N25" s="1265">
        <f t="shared" si="4"/>
        <v>20</v>
      </c>
      <c r="O25" s="1262">
        <v>286</v>
      </c>
      <c r="P25" s="1263">
        <v>-2.9</v>
      </c>
      <c r="Q25" s="1264">
        <v>402.2</v>
      </c>
      <c r="R25" s="106">
        <f t="shared" si="5"/>
        <v>110861.34450959715</v>
      </c>
      <c r="S25" s="90">
        <f t="shared" si="6"/>
        <v>-386619.45410639182</v>
      </c>
    </row>
    <row r="26" spans="1:20" x14ac:dyDescent="0.2">
      <c r="A26" s="344"/>
      <c r="B26" s="95">
        <f t="shared" si="7"/>
        <v>37277</v>
      </c>
      <c r="C26" s="62">
        <f t="shared" si="7"/>
        <v>21</v>
      </c>
      <c r="D26" s="114">
        <v>22.56</v>
      </c>
      <c r="E26" s="115">
        <v>-4.67</v>
      </c>
      <c r="F26" s="102">
        <v>401.4</v>
      </c>
      <c r="G26" s="106">
        <f t="shared" si="1"/>
        <v>370684.1819362737</v>
      </c>
      <c r="H26" s="90">
        <f t="shared" si="2"/>
        <v>153997.39368650224</v>
      </c>
      <c r="I26" s="4"/>
      <c r="J26" s="1015"/>
      <c r="K26" s="465"/>
      <c r="L26">
        <f t="shared" si="8"/>
        <v>147</v>
      </c>
      <c r="M26" s="95">
        <f t="shared" si="3"/>
        <v>39593</v>
      </c>
      <c r="N26" s="1265">
        <f t="shared" si="4"/>
        <v>21</v>
      </c>
      <c r="O26" s="1262">
        <v>298</v>
      </c>
      <c r="P26" s="1263">
        <v>-2</v>
      </c>
      <c r="Q26" s="1264">
        <v>399.2</v>
      </c>
      <c r="R26" s="106">
        <f t="shared" si="5"/>
        <v>187413.04786412747</v>
      </c>
      <c r="S26" s="90">
        <f t="shared" si="6"/>
        <v>-352472.67906928371</v>
      </c>
      <c r="T26" s="4"/>
    </row>
    <row r="27" spans="1:20" x14ac:dyDescent="0.2">
      <c r="A27" s="344"/>
      <c r="B27" s="95">
        <f t="shared" si="7"/>
        <v>37278</v>
      </c>
      <c r="C27" s="62">
        <f t="shared" si="7"/>
        <v>22</v>
      </c>
      <c r="D27" s="114">
        <v>34.69</v>
      </c>
      <c r="E27" s="115">
        <v>-4.09</v>
      </c>
      <c r="F27" s="102">
        <v>397.6</v>
      </c>
      <c r="G27" s="106">
        <f t="shared" si="1"/>
        <v>326923.97048382851</v>
      </c>
      <c r="H27" s="90">
        <f t="shared" si="2"/>
        <v>226288.48296607766</v>
      </c>
      <c r="I27" s="4"/>
      <c r="J27" s="1015"/>
      <c r="K27" s="465"/>
      <c r="L27">
        <f t="shared" si="8"/>
        <v>148</v>
      </c>
      <c r="M27" s="95">
        <f t="shared" si="3"/>
        <v>39594</v>
      </c>
      <c r="N27" s="1265">
        <f t="shared" si="4"/>
        <v>22</v>
      </c>
      <c r="O27" s="1262">
        <v>310.3</v>
      </c>
      <c r="P27" s="1263">
        <v>-1</v>
      </c>
      <c r="Q27" s="1264">
        <v>395.4</v>
      </c>
      <c r="R27" s="106">
        <f t="shared" si="5"/>
        <v>255740.67881843584</v>
      </c>
      <c r="S27" s="90">
        <f t="shared" si="6"/>
        <v>-301559.05756167503</v>
      </c>
      <c r="T27" s="4"/>
    </row>
    <row r="28" spans="1:20" x14ac:dyDescent="0.2">
      <c r="A28" s="344"/>
      <c r="B28" s="95">
        <f t="shared" si="7"/>
        <v>37279</v>
      </c>
      <c r="C28" s="62">
        <f t="shared" si="7"/>
        <v>23</v>
      </c>
      <c r="D28" s="114">
        <v>47.06</v>
      </c>
      <c r="E28" s="115">
        <v>-3.31</v>
      </c>
      <c r="F28" s="102">
        <v>392.8</v>
      </c>
      <c r="G28" s="106">
        <f t="shared" si="1"/>
        <v>267587.97455583111</v>
      </c>
      <c r="H28" s="90">
        <f t="shared" si="2"/>
        <v>287556.10908674484</v>
      </c>
      <c r="I28" s="4"/>
      <c r="J28" s="1015"/>
      <c r="K28" s="465"/>
      <c r="L28">
        <f t="shared" si="8"/>
        <v>149</v>
      </c>
      <c r="M28" s="95">
        <f t="shared" si="3"/>
        <v>39595</v>
      </c>
      <c r="N28" s="1265">
        <f t="shared" si="4"/>
        <v>23</v>
      </c>
      <c r="O28" s="1262">
        <v>322.8</v>
      </c>
      <c r="P28" s="1263">
        <v>0.1</v>
      </c>
      <c r="Q28" s="1264">
        <v>390.8</v>
      </c>
      <c r="R28" s="106">
        <f t="shared" si="5"/>
        <v>311283.89196385595</v>
      </c>
      <c r="S28" s="90">
        <f t="shared" si="6"/>
        <v>-236277.33408821604</v>
      </c>
      <c r="T28" s="4"/>
    </row>
    <row r="29" spans="1:20" x14ac:dyDescent="0.2">
      <c r="A29" s="344"/>
      <c r="B29" s="95">
        <f t="shared" si="7"/>
        <v>37280</v>
      </c>
      <c r="C29" s="62">
        <f t="shared" si="7"/>
        <v>24</v>
      </c>
      <c r="D29" s="114">
        <v>59.76</v>
      </c>
      <c r="E29" s="115">
        <v>-2.35</v>
      </c>
      <c r="F29" s="102">
        <v>387.2</v>
      </c>
      <c r="G29" s="106">
        <f t="shared" si="1"/>
        <v>195002.90367336661</v>
      </c>
      <c r="H29" s="90">
        <f t="shared" si="2"/>
        <v>334511.14713706583</v>
      </c>
      <c r="I29" s="4"/>
      <c r="J29" s="1015"/>
      <c r="K29" s="465"/>
      <c r="L29">
        <f t="shared" si="8"/>
        <v>150</v>
      </c>
      <c r="M29" s="95">
        <f t="shared" si="3"/>
        <v>39596</v>
      </c>
      <c r="N29" s="1265">
        <f t="shared" si="4"/>
        <v>24</v>
      </c>
      <c r="O29" s="1262">
        <v>335.6</v>
      </c>
      <c r="P29" s="1263">
        <v>1.2</v>
      </c>
      <c r="Q29" s="1264">
        <v>385.4</v>
      </c>
      <c r="R29" s="106">
        <f t="shared" si="5"/>
        <v>350977.48287470074</v>
      </c>
      <c r="S29" s="90">
        <f t="shared" si="6"/>
        <v>-159210.44725437823</v>
      </c>
      <c r="T29" s="4"/>
    </row>
    <row r="30" spans="1:20" x14ac:dyDescent="0.2">
      <c r="A30" s="344"/>
      <c r="B30" s="95">
        <f t="shared" si="7"/>
        <v>37281</v>
      </c>
      <c r="C30" s="62">
        <f t="shared" si="7"/>
        <v>25</v>
      </c>
      <c r="D30" s="114">
        <v>72.849999999999994</v>
      </c>
      <c r="E30" s="115">
        <v>-1.24</v>
      </c>
      <c r="F30" s="102">
        <v>381.1</v>
      </c>
      <c r="G30" s="106">
        <f t="shared" si="1"/>
        <v>112376.59569874173</v>
      </c>
      <c r="H30" s="90">
        <f t="shared" si="2"/>
        <v>364154.78953209106</v>
      </c>
      <c r="I30" s="4"/>
      <c r="J30" s="1015"/>
      <c r="K30" s="465"/>
      <c r="L30">
        <f t="shared" si="8"/>
        <v>151</v>
      </c>
      <c r="M30" s="95">
        <f t="shared" si="3"/>
        <v>39597</v>
      </c>
      <c r="N30" s="1265">
        <f t="shared" si="4"/>
        <v>25</v>
      </c>
      <c r="O30" s="1262">
        <v>348.8</v>
      </c>
      <c r="P30" s="1263">
        <v>2.2999999999999998</v>
      </c>
      <c r="Q30" s="1264">
        <v>379.6</v>
      </c>
      <c r="R30" s="106">
        <f t="shared" si="5"/>
        <v>372370.57697055314</v>
      </c>
      <c r="S30" s="90">
        <f t="shared" si="6"/>
        <v>-73731.359723101225</v>
      </c>
      <c r="T30" s="4"/>
    </row>
    <row r="31" spans="1:20" x14ac:dyDescent="0.2">
      <c r="A31" s="344"/>
      <c r="B31" s="95">
        <f t="shared" si="7"/>
        <v>37282</v>
      </c>
      <c r="C31" s="62">
        <f t="shared" si="7"/>
        <v>26</v>
      </c>
      <c r="D31" s="114">
        <v>86.39</v>
      </c>
      <c r="E31" s="115">
        <v>-0.02</v>
      </c>
      <c r="F31" s="101">
        <v>375</v>
      </c>
      <c r="G31" s="106">
        <f t="shared" si="1"/>
        <v>23611.765161155421</v>
      </c>
      <c r="H31" s="90">
        <f t="shared" si="2"/>
        <v>374255.9078304235</v>
      </c>
      <c r="J31" s="1015"/>
      <c r="K31" s="465"/>
      <c r="L31">
        <f t="shared" si="8"/>
        <v>152</v>
      </c>
      <c r="M31" s="95">
        <f t="shared" si="3"/>
        <v>39598</v>
      </c>
      <c r="N31" s="1265">
        <f t="shared" si="4"/>
        <v>26</v>
      </c>
      <c r="O31" s="1262">
        <v>2.4</v>
      </c>
      <c r="P31" s="1263">
        <v>3.3</v>
      </c>
      <c r="Q31" s="1271">
        <v>373.7</v>
      </c>
      <c r="R31" s="106">
        <f t="shared" si="5"/>
        <v>373372.2016079434</v>
      </c>
      <c r="S31" s="90">
        <f t="shared" si="6"/>
        <v>15648.9317986019</v>
      </c>
    </row>
    <row r="32" spans="1:20" x14ac:dyDescent="0.2">
      <c r="A32" s="344"/>
      <c r="B32" s="95">
        <f t="shared" si="7"/>
        <v>37283</v>
      </c>
      <c r="C32" s="62">
        <f t="shared" si="7"/>
        <v>27</v>
      </c>
      <c r="D32" s="114">
        <v>100.38</v>
      </c>
      <c r="E32" s="115">
        <v>1.23</v>
      </c>
      <c r="F32" s="102">
        <v>369.4</v>
      </c>
      <c r="G32" s="106">
        <f t="shared" si="1"/>
        <v>-66556.941645853483</v>
      </c>
      <c r="H32" s="90">
        <f t="shared" si="2"/>
        <v>363354.55621025374</v>
      </c>
      <c r="I32" s="4"/>
      <c r="J32" s="1015"/>
      <c r="K32" s="465"/>
      <c r="L32">
        <f t="shared" si="8"/>
        <v>153</v>
      </c>
      <c r="M32" s="95">
        <f t="shared" si="3"/>
        <v>39599</v>
      </c>
      <c r="N32" s="1265">
        <f t="shared" si="4"/>
        <v>27</v>
      </c>
      <c r="O32" s="1262">
        <v>16.5</v>
      </c>
      <c r="P32" s="1263">
        <v>4.0999999999999996</v>
      </c>
      <c r="Q32" s="1264">
        <v>368.1</v>
      </c>
      <c r="R32" s="106">
        <f t="shared" si="5"/>
        <v>352941.54440498189</v>
      </c>
      <c r="S32" s="90">
        <f t="shared" si="6"/>
        <v>104546.04838551393</v>
      </c>
      <c r="T32" s="4"/>
    </row>
    <row r="33" spans="1:20" x14ac:dyDescent="0.2">
      <c r="A33" s="344"/>
      <c r="B33" s="39">
        <f t="shared" si="7"/>
        <v>37284</v>
      </c>
      <c r="C33" s="1211">
        <f t="shared" si="7"/>
        <v>28</v>
      </c>
      <c r="D33" s="114">
        <v>114.8</v>
      </c>
      <c r="E33" s="115">
        <v>2.44</v>
      </c>
      <c r="F33" s="103">
        <v>364.8</v>
      </c>
      <c r="G33" s="106">
        <f t="shared" si="1"/>
        <v>-153016.11967636546</v>
      </c>
      <c r="H33" s="90">
        <f t="shared" si="2"/>
        <v>331157.22416880506</v>
      </c>
      <c r="I33" s="4"/>
      <c r="J33" s="1015"/>
      <c r="K33" s="465"/>
      <c r="L33">
        <f t="shared" si="8"/>
        <v>154</v>
      </c>
      <c r="M33" s="39">
        <f t="shared" si="3"/>
        <v>39600</v>
      </c>
      <c r="N33" s="96">
        <f t="shared" si="4"/>
        <v>28</v>
      </c>
      <c r="O33" s="1262">
        <v>31</v>
      </c>
      <c r="P33" s="1263">
        <v>4.7300000000000004</v>
      </c>
      <c r="Q33" s="1277">
        <v>363.2</v>
      </c>
      <c r="R33" s="106">
        <f t="shared" si="5"/>
        <v>311323.16361500719</v>
      </c>
      <c r="S33" s="90">
        <f t="shared" si="6"/>
        <v>187061.82880733168</v>
      </c>
      <c r="T33" s="4"/>
    </row>
    <row r="34" spans="1:20" x14ac:dyDescent="0.2">
      <c r="A34" s="344"/>
      <c r="B34" s="39">
        <f t="shared" si="7"/>
        <v>37285</v>
      </c>
      <c r="C34" s="1211">
        <f t="shared" si="7"/>
        <v>29</v>
      </c>
      <c r="D34" s="114">
        <v>129.57</v>
      </c>
      <c r="E34" s="115">
        <v>3.52</v>
      </c>
      <c r="F34" s="102">
        <v>361.6</v>
      </c>
      <c r="G34" s="106">
        <f t="shared" si="1"/>
        <v>-230346.59927613227</v>
      </c>
      <c r="H34" s="90">
        <f t="shared" si="2"/>
        <v>278738.23598839279</v>
      </c>
      <c r="I34" s="4"/>
      <c r="J34" s="1015"/>
      <c r="K34" s="465"/>
      <c r="L34">
        <f t="shared" si="8"/>
        <v>155</v>
      </c>
      <c r="M34" s="39">
        <f t="shared" si="3"/>
        <v>39601</v>
      </c>
      <c r="N34" s="96">
        <f t="shared" si="4"/>
        <v>29</v>
      </c>
      <c r="O34" s="1262">
        <v>46</v>
      </c>
      <c r="P34" s="1263">
        <v>5.0199999999999996</v>
      </c>
      <c r="Q34" s="1264">
        <v>359.5</v>
      </c>
      <c r="R34" s="106">
        <f t="shared" si="5"/>
        <v>249729.6841800095</v>
      </c>
      <c r="S34" s="90">
        <f t="shared" si="6"/>
        <v>258602.65822174508</v>
      </c>
      <c r="T34" s="4"/>
    </row>
    <row r="35" spans="1:20" x14ac:dyDescent="0.2">
      <c r="A35" s="344"/>
      <c r="B35" s="39">
        <f t="shared" si="7"/>
        <v>37286</v>
      </c>
      <c r="C35" s="1211">
        <f t="shared" si="7"/>
        <v>30</v>
      </c>
      <c r="D35" s="114">
        <v>144.56</v>
      </c>
      <c r="E35" s="115">
        <v>4.37</v>
      </c>
      <c r="F35" s="1314">
        <v>360.1</v>
      </c>
      <c r="G35" s="1273">
        <f t="shared" si="1"/>
        <v>-293381.81804332201</v>
      </c>
      <c r="H35" s="1274">
        <f t="shared" si="2"/>
        <v>208804.020175846</v>
      </c>
      <c r="I35" s="1315" t="s">
        <v>12</v>
      </c>
      <c r="J35" s="1015"/>
      <c r="K35" s="465"/>
      <c r="L35">
        <f t="shared" si="8"/>
        <v>156</v>
      </c>
      <c r="M35" s="39">
        <f t="shared" si="3"/>
        <v>39602</v>
      </c>
      <c r="N35" s="96">
        <f t="shared" si="4"/>
        <v>30</v>
      </c>
      <c r="O35" s="1262">
        <v>61.2</v>
      </c>
      <c r="P35" s="1263">
        <v>4.96</v>
      </c>
      <c r="Q35" s="1264">
        <v>357.5</v>
      </c>
      <c r="R35" s="106">
        <f t="shared" si="5"/>
        <v>172226.93849136317</v>
      </c>
      <c r="S35" s="90">
        <f t="shared" si="6"/>
        <v>313279.63811568124</v>
      </c>
    </row>
    <row r="36" spans="1:20" ht="13.5" thickBot="1" x14ac:dyDescent="0.25">
      <c r="A36" s="344"/>
      <c r="B36" s="47">
        <f t="shared" si="7"/>
        <v>37287</v>
      </c>
      <c r="C36" s="1212">
        <f t="shared" si="7"/>
        <v>31</v>
      </c>
      <c r="D36" s="116">
        <v>159.63</v>
      </c>
      <c r="E36" s="117">
        <v>4.92</v>
      </c>
      <c r="F36" s="104">
        <v>360.3</v>
      </c>
      <c r="G36" s="107">
        <f t="shared" si="1"/>
        <v>-337768.41355592437</v>
      </c>
      <c r="H36" s="91">
        <f t="shared" si="2"/>
        <v>125413.67072179198</v>
      </c>
      <c r="I36" s="4"/>
      <c r="J36" s="1015"/>
      <c r="K36" s="465"/>
      <c r="L36">
        <f t="shared" si="8"/>
        <v>157</v>
      </c>
      <c r="M36" s="47">
        <f t="shared" si="3"/>
        <v>39603</v>
      </c>
      <c r="N36" s="97">
        <f t="shared" si="4"/>
        <v>31</v>
      </c>
      <c r="O36" s="1319">
        <v>76.5</v>
      </c>
      <c r="P36" s="1320">
        <v>4.55</v>
      </c>
      <c r="Q36" s="1321">
        <v>357.4</v>
      </c>
      <c r="R36" s="107">
        <f t="shared" si="5"/>
        <v>83433.373042100618</v>
      </c>
      <c r="S36" s="91">
        <f t="shared" si="6"/>
        <v>347525.00955012959</v>
      </c>
      <c r="T36" t="s">
        <v>229</v>
      </c>
    </row>
    <row r="37" spans="1:20" x14ac:dyDescent="0.2">
      <c r="A37" s="344"/>
      <c r="B37" s="98">
        <v>37622</v>
      </c>
      <c r="C37" s="99">
        <v>1</v>
      </c>
      <c r="D37" s="110">
        <v>256.04000000000002</v>
      </c>
      <c r="E37" s="111">
        <v>-0.69</v>
      </c>
      <c r="F37" s="100">
        <v>369.8</v>
      </c>
      <c r="G37" s="106">
        <f t="shared" si="1"/>
        <v>-89212.194834331167</v>
      </c>
      <c r="H37" s="90">
        <f t="shared" si="2"/>
        <v>-358877.7288894385</v>
      </c>
      <c r="I37" s="5"/>
      <c r="J37" s="1015"/>
      <c r="K37" s="465"/>
    </row>
    <row r="38" spans="1:20" ht="15.75" thickBot="1" x14ac:dyDescent="0.3">
      <c r="A38" s="344"/>
      <c r="B38" s="39">
        <f>B37+1</f>
        <v>37623</v>
      </c>
      <c r="C38" s="96">
        <f t="shared" si="7"/>
        <v>2</v>
      </c>
      <c r="D38" s="114">
        <v>270.18</v>
      </c>
      <c r="E38" s="115">
        <v>-1.93</v>
      </c>
      <c r="F38" s="102">
        <v>372.3</v>
      </c>
      <c r="G38" s="106">
        <f t="shared" si="1"/>
        <v>1169.6130209928201</v>
      </c>
      <c r="H38" s="90">
        <f t="shared" si="2"/>
        <v>-372298.16277465184</v>
      </c>
      <c r="I38" s="5"/>
      <c r="J38" s="1015"/>
      <c r="K38" s="465"/>
      <c r="M38" s="1493" t="s">
        <v>233</v>
      </c>
      <c r="N38" s="1493"/>
      <c r="O38" s="1493"/>
      <c r="P38" s="1493"/>
      <c r="Q38" s="1493"/>
      <c r="R38" s="1493"/>
      <c r="S38" s="1493"/>
      <c r="T38" s="1493"/>
    </row>
    <row r="39" spans="1:20" ht="15" x14ac:dyDescent="0.25">
      <c r="A39" s="344"/>
      <c r="B39" s="74">
        <f t="shared" si="7"/>
        <v>37624</v>
      </c>
      <c r="C39" s="96">
        <f t="shared" si="7"/>
        <v>3</v>
      </c>
      <c r="D39" s="112">
        <v>284.11</v>
      </c>
      <c r="E39" s="113">
        <v>-3.04</v>
      </c>
      <c r="F39" s="101">
        <v>375.8</v>
      </c>
      <c r="G39" s="106">
        <f t="shared" si="1"/>
        <v>91614.133429111476</v>
      </c>
      <c r="H39" s="90">
        <f t="shared" si="2"/>
        <v>-364461.91921246442</v>
      </c>
      <c r="I39" s="5"/>
      <c r="J39" s="5"/>
      <c r="M39" s="8" t="s">
        <v>3</v>
      </c>
      <c r="N39" s="1259" t="s">
        <v>0</v>
      </c>
      <c r="O39" s="73" t="s">
        <v>7</v>
      </c>
      <c r="P39" s="37" t="s">
        <v>8</v>
      </c>
      <c r="Q39" s="38" t="s">
        <v>2</v>
      </c>
      <c r="R39" s="93" t="s">
        <v>10</v>
      </c>
      <c r="S39" s="92" t="s">
        <v>11</v>
      </c>
      <c r="T39" s="4"/>
    </row>
    <row r="40" spans="1:20" ht="13.5" thickBot="1" x14ac:dyDescent="0.25">
      <c r="A40" s="344"/>
      <c r="B40" s="39">
        <f t="shared" si="7"/>
        <v>37625</v>
      </c>
      <c r="C40" s="96">
        <f t="shared" si="7"/>
        <v>4</v>
      </c>
      <c r="D40" s="114">
        <v>297.79000000000002</v>
      </c>
      <c r="E40" s="115">
        <v>-3.95</v>
      </c>
      <c r="F40" s="102">
        <v>380</v>
      </c>
      <c r="G40" s="106">
        <f t="shared" si="1"/>
        <v>177168.25299816762</v>
      </c>
      <c r="H40" s="90">
        <f t="shared" si="2"/>
        <v>-336171.69739521097</v>
      </c>
      <c r="I40" s="5"/>
      <c r="J40" s="5"/>
      <c r="M40" s="31"/>
      <c r="N40" s="393"/>
      <c r="O40" s="58" t="s">
        <v>1</v>
      </c>
      <c r="P40" s="30" t="s">
        <v>1</v>
      </c>
      <c r="Q40" s="71" t="s">
        <v>14</v>
      </c>
      <c r="R40" s="10" t="s">
        <v>230</v>
      </c>
      <c r="S40" s="393" t="s">
        <v>230</v>
      </c>
      <c r="T40" s="1258"/>
    </row>
    <row r="41" spans="1:20" x14ac:dyDescent="0.2">
      <c r="A41" s="344"/>
      <c r="B41" s="39">
        <f t="shared" si="7"/>
        <v>37626</v>
      </c>
      <c r="C41" s="96">
        <f t="shared" si="7"/>
        <v>5</v>
      </c>
      <c r="D41" s="114">
        <v>311.14999999999998</v>
      </c>
      <c r="E41" s="115">
        <v>-4.6100000000000003</v>
      </c>
      <c r="F41" s="102">
        <v>384.8</v>
      </c>
      <c r="G41" s="106">
        <f t="shared" si="1"/>
        <v>253210.94583319314</v>
      </c>
      <c r="H41" s="90">
        <f t="shared" si="2"/>
        <v>-289750.33547911508</v>
      </c>
      <c r="I41" s="4"/>
      <c r="J41" s="5"/>
      <c r="M41" s="1317"/>
      <c r="N41" s="1171"/>
      <c r="O41" s="1171"/>
      <c r="P41" s="1171"/>
      <c r="Q41" s="1171"/>
      <c r="R41" s="1171"/>
      <c r="S41" s="384"/>
      <c r="T41" s="345"/>
    </row>
    <row r="42" spans="1:20" x14ac:dyDescent="0.2">
      <c r="A42" s="344"/>
      <c r="B42" s="39">
        <f t="shared" si="7"/>
        <v>37627</v>
      </c>
      <c r="C42" s="96">
        <f t="shared" si="7"/>
        <v>6</v>
      </c>
      <c r="D42" s="114">
        <v>324.18</v>
      </c>
      <c r="E42" s="115">
        <v>-5.0199999999999996</v>
      </c>
      <c r="F42" s="102">
        <v>389.8</v>
      </c>
      <c r="G42" s="106">
        <f t="shared" si="1"/>
        <v>316073.06460845907</v>
      </c>
      <c r="H42" s="90">
        <f t="shared" si="2"/>
        <v>-228126.84591914396</v>
      </c>
      <c r="I42" s="4"/>
      <c r="J42" s="4"/>
      <c r="M42" s="95">
        <v>39684</v>
      </c>
      <c r="N42" s="1310">
        <v>1</v>
      </c>
      <c r="O42" s="1262">
        <v>61</v>
      </c>
      <c r="P42" s="3">
        <v>5.14</v>
      </c>
      <c r="Q42" s="1264">
        <v>370</v>
      </c>
      <c r="R42" s="106">
        <f>Q42*1000*COS(RADIANS(O42))</f>
        <v>179379.55949114473</v>
      </c>
      <c r="S42" s="90">
        <f>Q42*1000*SIN(RADIANS(O42))</f>
        <v>323609.29164157645</v>
      </c>
      <c r="T42" s="464" t="s">
        <v>231</v>
      </c>
    </row>
    <row r="43" spans="1:20" x14ac:dyDescent="0.2">
      <c r="A43" s="344"/>
      <c r="B43" s="39">
        <f t="shared" si="7"/>
        <v>37628</v>
      </c>
      <c r="C43" s="96">
        <f t="shared" si="7"/>
        <v>7</v>
      </c>
      <c r="D43" s="114">
        <v>336.87</v>
      </c>
      <c r="E43" s="115">
        <v>-5.17</v>
      </c>
      <c r="F43" s="102">
        <v>394.4</v>
      </c>
      <c r="G43" s="106">
        <f t="shared" si="1"/>
        <v>362696.52831758681</v>
      </c>
      <c r="H43" s="90">
        <f t="shared" si="2"/>
        <v>-154927.68747506023</v>
      </c>
      <c r="I43" s="4"/>
      <c r="J43" s="4"/>
      <c r="M43" s="94">
        <f t="shared" ref="M43:M71" si="9">M42+1</f>
        <v>39685</v>
      </c>
      <c r="N43" s="1265">
        <f t="shared" ref="N43:N71" si="10">N42+1</f>
        <v>2</v>
      </c>
      <c r="O43" s="1266">
        <v>75</v>
      </c>
      <c r="P43" s="3">
        <v>4.7</v>
      </c>
      <c r="Q43" s="1311">
        <v>369</v>
      </c>
      <c r="R43" s="106">
        <f t="shared" ref="R43:R69" si="11">Q43*1000*COS(RADIANS(O43))</f>
        <v>95504.227642830156</v>
      </c>
      <c r="S43" s="90">
        <f t="shared" ref="S43:S69" si="12">Q43*1000*SIN(RADIANS(O43))</f>
        <v>356426.62990066619</v>
      </c>
      <c r="T43" s="345"/>
    </row>
    <row r="44" spans="1:20" x14ac:dyDescent="0.2">
      <c r="A44" s="344"/>
      <c r="B44" s="39">
        <f t="shared" si="7"/>
        <v>37629</v>
      </c>
      <c r="C44" s="96">
        <f t="shared" si="7"/>
        <v>8</v>
      </c>
      <c r="D44" s="114">
        <v>349.25</v>
      </c>
      <c r="E44" s="115">
        <v>-5.07</v>
      </c>
      <c r="F44" s="102">
        <v>398.5</v>
      </c>
      <c r="G44" s="106">
        <f t="shared" si="1"/>
        <v>391506.48349361558</v>
      </c>
      <c r="H44" s="90">
        <f t="shared" si="2"/>
        <v>-74329.828349480798</v>
      </c>
      <c r="I44" s="4"/>
      <c r="J44" s="4"/>
      <c r="M44" s="95">
        <f t="shared" si="9"/>
        <v>39686</v>
      </c>
      <c r="N44" s="1265">
        <f t="shared" si="10"/>
        <v>3</v>
      </c>
      <c r="O44" s="1262">
        <v>90</v>
      </c>
      <c r="P44" s="3">
        <v>4</v>
      </c>
      <c r="Q44" s="1276">
        <v>368</v>
      </c>
      <c r="R44" s="106">
        <f t="shared" si="11"/>
        <v>2.2542731570318608E-11</v>
      </c>
      <c r="S44" s="90">
        <f t="shared" si="12"/>
        <v>368000</v>
      </c>
      <c r="T44" s="345" t="s">
        <v>229</v>
      </c>
    </row>
    <row r="45" spans="1:20" x14ac:dyDescent="0.2">
      <c r="A45" s="344"/>
      <c r="B45" s="39">
        <f t="shared" si="7"/>
        <v>37630</v>
      </c>
      <c r="C45" s="96">
        <f t="shared" si="7"/>
        <v>9</v>
      </c>
      <c r="D45" s="114">
        <v>1.39</v>
      </c>
      <c r="E45" s="115">
        <v>-4.75</v>
      </c>
      <c r="F45" s="102">
        <v>401.7</v>
      </c>
      <c r="G45" s="106">
        <f t="shared" si="1"/>
        <v>401581.79526566004</v>
      </c>
      <c r="H45" s="90">
        <f t="shared" si="2"/>
        <v>9744.316867256488</v>
      </c>
      <c r="I45" s="4"/>
      <c r="J45" s="4"/>
      <c r="M45" s="95">
        <f t="shared" si="9"/>
        <v>39687</v>
      </c>
      <c r="N45" s="1265">
        <f t="shared" si="10"/>
        <v>4</v>
      </c>
      <c r="O45" s="1262">
        <v>104</v>
      </c>
      <c r="P45" s="3">
        <v>2.98</v>
      </c>
      <c r="Q45" s="1264">
        <v>369</v>
      </c>
      <c r="R45" s="106">
        <f t="shared" si="11"/>
        <v>-89269.179476277408</v>
      </c>
      <c r="S45" s="90">
        <f t="shared" si="12"/>
        <v>358039.12299584271</v>
      </c>
      <c r="T45" s="466"/>
    </row>
    <row r="46" spans="1:20" x14ac:dyDescent="0.2">
      <c r="A46" s="344"/>
      <c r="B46" s="39">
        <f t="shared" si="7"/>
        <v>37631</v>
      </c>
      <c r="C46" s="96">
        <f t="shared" si="7"/>
        <v>10</v>
      </c>
      <c r="D46" s="114">
        <v>13.33</v>
      </c>
      <c r="E46" s="115">
        <v>-4.22</v>
      </c>
      <c r="F46" s="102">
        <v>403.6</v>
      </c>
      <c r="G46" s="106">
        <f t="shared" si="1"/>
        <v>392726.32407648227</v>
      </c>
      <c r="H46" s="90">
        <f t="shared" si="2"/>
        <v>93053.717697757034</v>
      </c>
      <c r="I46" s="4"/>
      <c r="J46" s="4"/>
      <c r="M46" s="95">
        <f t="shared" si="9"/>
        <v>39688</v>
      </c>
      <c r="N46" s="1265">
        <f t="shared" si="10"/>
        <v>5</v>
      </c>
      <c r="O46" s="1262">
        <v>118</v>
      </c>
      <c r="P46" s="3">
        <v>1.8</v>
      </c>
      <c r="Q46" s="1264">
        <v>370</v>
      </c>
      <c r="R46" s="106">
        <f t="shared" si="11"/>
        <v>-173704.47823077964</v>
      </c>
      <c r="S46" s="90">
        <f t="shared" si="12"/>
        <v>326690.60935780295</v>
      </c>
      <c r="T46" s="466"/>
    </row>
    <row r="47" spans="1:20" x14ac:dyDescent="0.2">
      <c r="A47" s="344"/>
      <c r="B47" s="74">
        <f t="shared" si="7"/>
        <v>37632</v>
      </c>
      <c r="C47" s="96">
        <f t="shared" si="7"/>
        <v>11</v>
      </c>
      <c r="D47" s="112">
        <v>25.18</v>
      </c>
      <c r="E47" s="113">
        <v>-3.51</v>
      </c>
      <c r="F47" s="1312">
        <v>404.3</v>
      </c>
      <c r="G47" s="1268">
        <f t="shared" si="1"/>
        <v>365881.64411540871</v>
      </c>
      <c r="H47" s="1269">
        <f t="shared" si="2"/>
        <v>172014.86127484858</v>
      </c>
      <c r="I47" s="1316" t="s">
        <v>13</v>
      </c>
      <c r="J47" s="4"/>
      <c r="M47" s="95">
        <f t="shared" si="9"/>
        <v>39689</v>
      </c>
      <c r="N47" s="1265">
        <f t="shared" si="10"/>
        <v>6</v>
      </c>
      <c r="O47" s="1262">
        <v>132</v>
      </c>
      <c r="P47" s="3">
        <v>0.56000000000000005</v>
      </c>
      <c r="Q47" s="1264">
        <v>372</v>
      </c>
      <c r="R47" s="106">
        <f t="shared" si="11"/>
        <v>-248916.58556549528</v>
      </c>
      <c r="S47" s="90">
        <f t="shared" si="12"/>
        <v>276449.87507759064</v>
      </c>
      <c r="T47" s="466"/>
    </row>
    <row r="48" spans="1:20" x14ac:dyDescent="0.2">
      <c r="A48" s="344"/>
      <c r="B48" s="39">
        <f t="shared" si="7"/>
        <v>37633</v>
      </c>
      <c r="C48" s="96">
        <f t="shared" si="7"/>
        <v>12</v>
      </c>
      <c r="D48" s="114">
        <v>37.01</v>
      </c>
      <c r="E48" s="115">
        <v>-2.66</v>
      </c>
      <c r="F48" s="102">
        <v>403.7</v>
      </c>
      <c r="G48" s="106">
        <f t="shared" si="1"/>
        <v>322366.74724598252</v>
      </c>
      <c r="H48" s="90">
        <f t="shared" si="2"/>
        <v>243008.9921588187</v>
      </c>
      <c r="I48" s="4"/>
      <c r="J48" s="4"/>
      <c r="M48" s="95">
        <f t="shared" si="9"/>
        <v>39690</v>
      </c>
      <c r="N48" s="1265">
        <f t="shared" si="10"/>
        <v>7</v>
      </c>
      <c r="O48" s="1262">
        <v>146</v>
      </c>
      <c r="P48" s="3">
        <v>-0.72</v>
      </c>
      <c r="Q48" s="1264">
        <v>375</v>
      </c>
      <c r="R48" s="106">
        <f t="shared" si="11"/>
        <v>-310889.08970814059</v>
      </c>
      <c r="S48" s="90">
        <f t="shared" si="12"/>
        <v>209697.3388015301</v>
      </c>
      <c r="T48" s="466"/>
    </row>
    <row r="49" spans="1:20" x14ac:dyDescent="0.2">
      <c r="A49" s="344"/>
      <c r="B49" s="39">
        <f t="shared" si="7"/>
        <v>37634</v>
      </c>
      <c r="C49" s="96">
        <f t="shared" si="7"/>
        <v>13</v>
      </c>
      <c r="D49" s="114">
        <v>48.9</v>
      </c>
      <c r="E49" s="115">
        <v>-1.68</v>
      </c>
      <c r="F49" s="102">
        <v>401.9</v>
      </c>
      <c r="G49" s="106">
        <f t="shared" si="1"/>
        <v>264199.11128464708</v>
      </c>
      <c r="H49" s="90">
        <f t="shared" si="2"/>
        <v>302857.12736602826</v>
      </c>
      <c r="I49" s="4"/>
      <c r="J49" s="4"/>
      <c r="M49" s="95">
        <f t="shared" si="9"/>
        <v>39691</v>
      </c>
      <c r="N49" s="1265">
        <f t="shared" si="10"/>
        <v>8</v>
      </c>
      <c r="O49" s="1262">
        <v>160</v>
      </c>
      <c r="P49" s="3">
        <v>-1.93</v>
      </c>
      <c r="Q49" s="1264">
        <v>379</v>
      </c>
      <c r="R49" s="106">
        <f t="shared" si="11"/>
        <v>-356143.50327785924</v>
      </c>
      <c r="S49" s="90">
        <f t="shared" si="12"/>
        <v>129625.63432042851</v>
      </c>
      <c r="T49" s="466"/>
    </row>
    <row r="50" spans="1:20" x14ac:dyDescent="0.2">
      <c r="A50" s="344"/>
      <c r="B50" s="39">
        <f t="shared" si="7"/>
        <v>37635</v>
      </c>
      <c r="C50" s="96">
        <f t="shared" si="7"/>
        <v>14</v>
      </c>
      <c r="D50" s="114">
        <v>60.95</v>
      </c>
      <c r="E50" s="115">
        <v>-0.63</v>
      </c>
      <c r="F50" s="102">
        <v>398.9</v>
      </c>
      <c r="G50" s="106">
        <f t="shared" si="1"/>
        <v>193694.94413716008</v>
      </c>
      <c r="H50" s="90">
        <f t="shared" si="2"/>
        <v>348716.90325492172</v>
      </c>
      <c r="I50" s="2"/>
      <c r="J50" s="4"/>
      <c r="M50" s="95">
        <f t="shared" si="9"/>
        <v>39692</v>
      </c>
      <c r="N50" s="1265">
        <f t="shared" si="10"/>
        <v>9</v>
      </c>
      <c r="O50" s="1262">
        <v>174</v>
      </c>
      <c r="P50" s="1311">
        <v>-3</v>
      </c>
      <c r="Q50" s="1264">
        <v>383</v>
      </c>
      <c r="R50" s="106">
        <f t="shared" si="11"/>
        <v>-380901.88592604868</v>
      </c>
      <c r="S50" s="90">
        <f t="shared" si="12"/>
        <v>40034.401431511382</v>
      </c>
      <c r="T50" s="466"/>
    </row>
    <row r="51" spans="1:20" x14ac:dyDescent="0.2">
      <c r="A51" s="344"/>
      <c r="B51" s="39">
        <f t="shared" si="7"/>
        <v>37636</v>
      </c>
      <c r="C51" s="96">
        <f t="shared" si="7"/>
        <v>15</v>
      </c>
      <c r="D51" s="114">
        <v>73.23</v>
      </c>
      <c r="E51" s="115">
        <v>0.48</v>
      </c>
      <c r="F51" s="102">
        <v>395.2</v>
      </c>
      <c r="G51" s="106">
        <f t="shared" si="1"/>
        <v>114027.25598335547</v>
      </c>
      <c r="H51" s="90">
        <f t="shared" si="2"/>
        <v>378392.4218227769</v>
      </c>
      <c r="I51" s="2"/>
      <c r="J51" s="4"/>
      <c r="M51" s="95">
        <f t="shared" si="9"/>
        <v>39693</v>
      </c>
      <c r="N51" s="1265">
        <f t="shared" si="10"/>
        <v>10</v>
      </c>
      <c r="O51" s="1262">
        <v>187</v>
      </c>
      <c r="P51" s="1311">
        <v>-3.9</v>
      </c>
      <c r="Q51" s="1264">
        <v>388</v>
      </c>
      <c r="R51" s="106">
        <f t="shared" si="11"/>
        <v>-385107.90683683299</v>
      </c>
      <c r="S51" s="90">
        <f t="shared" si="12"/>
        <v>-47285.305241197158</v>
      </c>
      <c r="T51" s="466"/>
    </row>
    <row r="52" spans="1:20" x14ac:dyDescent="0.2">
      <c r="A52" s="344"/>
      <c r="B52" s="39">
        <f t="shared" si="7"/>
        <v>37637</v>
      </c>
      <c r="C52" s="96">
        <f t="shared" si="7"/>
        <v>16</v>
      </c>
      <c r="D52" s="114">
        <v>85.79</v>
      </c>
      <c r="E52" s="115">
        <v>1.59</v>
      </c>
      <c r="F52" s="102">
        <v>390.9</v>
      </c>
      <c r="G52" s="106">
        <f t="shared" si="1"/>
        <v>28696.852521686727</v>
      </c>
      <c r="H52" s="90">
        <f t="shared" si="2"/>
        <v>389845.22653913382</v>
      </c>
      <c r="I52" s="2"/>
      <c r="J52" s="4"/>
      <c r="M52" s="94">
        <f t="shared" si="9"/>
        <v>39694</v>
      </c>
      <c r="N52" s="1265">
        <f t="shared" si="10"/>
        <v>11</v>
      </c>
      <c r="O52" s="1266">
        <v>200</v>
      </c>
      <c r="P52" s="1311">
        <v>-4.5999999999999996</v>
      </c>
      <c r="Q52" s="1271">
        <v>392</v>
      </c>
      <c r="R52" s="106">
        <f t="shared" si="11"/>
        <v>-368359.50734807609</v>
      </c>
      <c r="S52" s="90">
        <f t="shared" si="12"/>
        <v>-134071.89618366212</v>
      </c>
      <c r="T52" s="345"/>
    </row>
    <row r="53" spans="1:20" x14ac:dyDescent="0.2">
      <c r="A53" s="344"/>
      <c r="B53" s="39">
        <f t="shared" si="7"/>
        <v>37638</v>
      </c>
      <c r="C53" s="96">
        <f t="shared" si="7"/>
        <v>17</v>
      </c>
      <c r="D53" s="114">
        <v>98.66</v>
      </c>
      <c r="E53" s="115">
        <v>2.64</v>
      </c>
      <c r="F53" s="102">
        <v>386.5</v>
      </c>
      <c r="G53" s="106">
        <f t="shared" si="1"/>
        <v>-58195.569568335712</v>
      </c>
      <c r="H53" s="90">
        <f t="shared" si="2"/>
        <v>382093.60853410908</v>
      </c>
      <c r="I53" s="2"/>
      <c r="J53" s="4"/>
      <c r="M53" s="95">
        <f t="shared" si="9"/>
        <v>39695</v>
      </c>
      <c r="N53" s="1265">
        <f t="shared" si="10"/>
        <v>12</v>
      </c>
      <c r="O53" s="1262">
        <v>212</v>
      </c>
      <c r="P53" s="1311">
        <v>-5</v>
      </c>
      <c r="Q53" s="1264">
        <v>396</v>
      </c>
      <c r="R53" s="106">
        <f t="shared" si="11"/>
        <v>-335827.04607794475</v>
      </c>
      <c r="S53" s="90">
        <f t="shared" si="12"/>
        <v>-209848.0286363491</v>
      </c>
      <c r="T53" s="464"/>
    </row>
    <row r="54" spans="1:20" x14ac:dyDescent="0.2">
      <c r="A54" s="344"/>
      <c r="B54" s="39">
        <f t="shared" si="7"/>
        <v>37639</v>
      </c>
      <c r="C54" s="96">
        <f t="shared" si="7"/>
        <v>18</v>
      </c>
      <c r="D54" s="114">
        <v>111.88</v>
      </c>
      <c r="E54" s="118">
        <v>3.57</v>
      </c>
      <c r="F54" s="102">
        <v>382.2</v>
      </c>
      <c r="G54" s="106">
        <f t="shared" si="1"/>
        <v>-142432.13642951261</v>
      </c>
      <c r="H54" s="90">
        <f t="shared" si="2"/>
        <v>354668.75604164053</v>
      </c>
      <c r="I54" s="2"/>
      <c r="J54" s="4"/>
      <c r="M54" s="95">
        <f t="shared" si="9"/>
        <v>39696</v>
      </c>
      <c r="N54" s="1265">
        <f t="shared" si="10"/>
        <v>13</v>
      </c>
      <c r="O54" s="1262">
        <v>224</v>
      </c>
      <c r="P54" s="1263">
        <v>-5.2</v>
      </c>
      <c r="Q54" s="1264">
        <v>400</v>
      </c>
      <c r="R54" s="106">
        <f t="shared" si="11"/>
        <v>-287735.92013546044</v>
      </c>
      <c r="S54" s="90">
        <f t="shared" si="12"/>
        <v>-277863.34818359895</v>
      </c>
      <c r="T54" s="1260"/>
    </row>
    <row r="55" spans="1:20" x14ac:dyDescent="0.2">
      <c r="A55" s="344"/>
      <c r="B55" s="39">
        <f t="shared" si="7"/>
        <v>37640</v>
      </c>
      <c r="C55" s="96">
        <f t="shared" si="7"/>
        <v>19</v>
      </c>
      <c r="D55" s="114">
        <v>125.4</v>
      </c>
      <c r="E55" s="115">
        <v>4.32</v>
      </c>
      <c r="F55" s="102">
        <v>378.3</v>
      </c>
      <c r="G55" s="106">
        <f t="shared" si="1"/>
        <v>-219142.06749723546</v>
      </c>
      <c r="H55" s="90">
        <f t="shared" si="2"/>
        <v>308362.84512411203</v>
      </c>
      <c r="I55" s="2"/>
      <c r="J55" s="4"/>
      <c r="M55" s="94">
        <f t="shared" si="9"/>
        <v>39697</v>
      </c>
      <c r="N55" s="1265">
        <f t="shared" si="10"/>
        <v>14</v>
      </c>
      <c r="O55" s="1266">
        <v>236</v>
      </c>
      <c r="P55" s="1267">
        <v>-5.2</v>
      </c>
      <c r="Q55" s="1271">
        <v>403</v>
      </c>
      <c r="R55" s="106">
        <f t="shared" si="11"/>
        <v>-225354.74009871087</v>
      </c>
      <c r="S55" s="90">
        <f t="shared" si="12"/>
        <v>-334102.14173968189</v>
      </c>
      <c r="T55" s="466"/>
    </row>
    <row r="56" spans="1:20" x14ac:dyDescent="0.2">
      <c r="A56" s="344"/>
      <c r="B56" s="39">
        <f t="shared" si="7"/>
        <v>37641</v>
      </c>
      <c r="C56" s="96">
        <f t="shared" si="7"/>
        <v>20</v>
      </c>
      <c r="D56" s="114">
        <v>139.19999999999999</v>
      </c>
      <c r="E56" s="115">
        <v>4.84</v>
      </c>
      <c r="F56" s="102">
        <v>375.1</v>
      </c>
      <c r="G56" s="106">
        <f t="shared" si="1"/>
        <v>-283948.84537497378</v>
      </c>
      <c r="H56" s="90">
        <f t="shared" si="2"/>
        <v>245098.06855668861</v>
      </c>
      <c r="I56" s="2"/>
      <c r="J56" s="4"/>
      <c r="M56" s="94">
        <f t="shared" si="9"/>
        <v>39698</v>
      </c>
      <c r="N56" s="1265">
        <f t="shared" si="10"/>
        <v>15</v>
      </c>
      <c r="O56" s="1266">
        <v>248</v>
      </c>
      <c r="P56" s="1263">
        <v>-4.9000000000000004</v>
      </c>
      <c r="Q56" s="1272">
        <v>404</v>
      </c>
      <c r="R56" s="1273">
        <f t="shared" si="11"/>
        <v>-151341.06374002856</v>
      </c>
      <c r="S56" s="1274">
        <f t="shared" si="12"/>
        <v>-374582.27724498208</v>
      </c>
      <c r="T56" s="1313" t="s">
        <v>232</v>
      </c>
    </row>
    <row r="57" spans="1:20" x14ac:dyDescent="0.2">
      <c r="A57" s="344"/>
      <c r="B57" s="39">
        <f t="shared" si="7"/>
        <v>37642</v>
      </c>
      <c r="C57" s="96">
        <f t="shared" si="7"/>
        <v>21</v>
      </c>
      <c r="D57" s="114">
        <v>153.21</v>
      </c>
      <c r="E57" s="115">
        <v>5.08</v>
      </c>
      <c r="F57" s="102">
        <v>372.7</v>
      </c>
      <c r="G57" s="106">
        <f t="shared" si="1"/>
        <v>-332696.0583423404</v>
      </c>
      <c r="H57" s="90">
        <f t="shared" si="2"/>
        <v>167983.99555752336</v>
      </c>
      <c r="I57" s="2"/>
      <c r="J57" s="4"/>
      <c r="M57" s="94">
        <f t="shared" si="9"/>
        <v>39699</v>
      </c>
      <c r="N57" s="1265">
        <f t="shared" si="10"/>
        <v>16</v>
      </c>
      <c r="O57" s="1266">
        <v>260</v>
      </c>
      <c r="P57" s="1263">
        <v>-4.4000000000000004</v>
      </c>
      <c r="Q57" s="1271">
        <v>404</v>
      </c>
      <c r="R57" s="106">
        <f t="shared" si="11"/>
        <v>-70153.863777439852</v>
      </c>
      <c r="S57" s="90">
        <f t="shared" si="12"/>
        <v>-397862.33221693203</v>
      </c>
      <c r="T57" s="346"/>
    </row>
    <row r="58" spans="1:20" x14ac:dyDescent="0.2">
      <c r="A58" s="344"/>
      <c r="B58" s="39">
        <f t="shared" si="7"/>
        <v>37643</v>
      </c>
      <c r="C58" s="96">
        <f t="shared" si="7"/>
        <v>22</v>
      </c>
      <c r="D58" s="114">
        <v>167.35</v>
      </c>
      <c r="E58" s="115">
        <v>5.0199999999999996</v>
      </c>
      <c r="F58" s="105">
        <v>371.1</v>
      </c>
      <c r="G58" s="106">
        <f t="shared" si="1"/>
        <v>-362091.92768126546</v>
      </c>
      <c r="H58" s="90">
        <f t="shared" si="2"/>
        <v>81268.972603726492</v>
      </c>
      <c r="I58" s="2"/>
      <c r="J58" s="4"/>
      <c r="M58" s="94">
        <f t="shared" si="9"/>
        <v>39700</v>
      </c>
      <c r="N58" s="1265">
        <f t="shared" si="10"/>
        <v>17</v>
      </c>
      <c r="O58" s="1266">
        <v>272</v>
      </c>
      <c r="P58" s="1263">
        <v>-3.8</v>
      </c>
      <c r="Q58" s="1271">
        <v>403</v>
      </c>
      <c r="R58" s="106">
        <f t="shared" si="11"/>
        <v>14064.497171108016</v>
      </c>
      <c r="S58" s="90">
        <f t="shared" si="12"/>
        <v>-402754.50328869559</v>
      </c>
      <c r="T58" s="1260"/>
    </row>
    <row r="59" spans="1:20" x14ac:dyDescent="0.2">
      <c r="A59" s="344"/>
      <c r="B59" s="74">
        <f t="shared" si="7"/>
        <v>37644</v>
      </c>
      <c r="C59" s="96">
        <f t="shared" si="7"/>
        <v>23</v>
      </c>
      <c r="D59" s="112">
        <v>181.56</v>
      </c>
      <c r="E59" s="113">
        <v>4.6399999999999997</v>
      </c>
      <c r="F59" s="1314">
        <v>370.2</v>
      </c>
      <c r="G59" s="1273">
        <f t="shared" si="1"/>
        <v>-370062.79070865002</v>
      </c>
      <c r="H59" s="1274">
        <f t="shared" si="2"/>
        <v>-10078.240566978127</v>
      </c>
      <c r="I59" s="1315" t="s">
        <v>12</v>
      </c>
      <c r="J59" s="4"/>
      <c r="M59" s="94">
        <f t="shared" si="9"/>
        <v>39701</v>
      </c>
      <c r="N59" s="1265">
        <f t="shared" si="10"/>
        <v>18</v>
      </c>
      <c r="O59" s="1266">
        <v>284</v>
      </c>
      <c r="P59" s="1267">
        <v>-2.9</v>
      </c>
      <c r="Q59" s="1276">
        <v>401</v>
      </c>
      <c r="R59" s="106">
        <f t="shared" si="11"/>
        <v>97010.680135466653</v>
      </c>
      <c r="S59" s="90">
        <f t="shared" si="12"/>
        <v>-389088.58623667463</v>
      </c>
    </row>
    <row r="60" spans="1:20" x14ac:dyDescent="0.2">
      <c r="A60" s="344"/>
      <c r="B60" s="39">
        <f t="shared" si="7"/>
        <v>37645</v>
      </c>
      <c r="C60" s="96">
        <f t="shared" si="7"/>
        <v>24</v>
      </c>
      <c r="D60" s="114">
        <v>195.76</v>
      </c>
      <c r="E60" s="115">
        <v>3.98</v>
      </c>
      <c r="F60" s="102">
        <v>369.9</v>
      </c>
      <c r="G60" s="106">
        <f t="shared" si="1"/>
        <v>-355994.66242002597</v>
      </c>
      <c r="H60" s="90">
        <f t="shared" si="2"/>
        <v>-100467.95672477742</v>
      </c>
      <c r="I60" s="2"/>
      <c r="J60" s="4"/>
      <c r="M60" s="95">
        <f t="shared" si="9"/>
        <v>39702</v>
      </c>
      <c r="N60" s="1265">
        <f t="shared" si="10"/>
        <v>19</v>
      </c>
      <c r="O60" s="1262">
        <v>296</v>
      </c>
      <c r="P60" s="1267">
        <v>-2</v>
      </c>
      <c r="Q60" s="1264">
        <v>397</v>
      </c>
      <c r="R60" s="106">
        <f t="shared" si="11"/>
        <v>174033.34527526374</v>
      </c>
      <c r="S60" s="90">
        <f t="shared" si="12"/>
        <v>-356821.23638076929</v>
      </c>
      <c r="T60" s="4"/>
    </row>
    <row r="61" spans="1:20" x14ac:dyDescent="0.2">
      <c r="A61" s="344"/>
      <c r="B61" s="39">
        <f t="shared" si="7"/>
        <v>37646</v>
      </c>
      <c r="C61" s="96">
        <f t="shared" si="7"/>
        <v>25</v>
      </c>
      <c r="D61" s="114">
        <v>209.92</v>
      </c>
      <c r="E61" s="115">
        <v>3.08</v>
      </c>
      <c r="F61" s="102">
        <v>370.2</v>
      </c>
      <c r="G61" s="106">
        <f t="shared" si="1"/>
        <v>-320860.74023706681</v>
      </c>
      <c r="H61" s="90">
        <f t="shared" si="2"/>
        <v>-184652.17403139753</v>
      </c>
      <c r="I61" s="2"/>
      <c r="J61" s="4"/>
      <c r="M61" s="95">
        <f t="shared" si="9"/>
        <v>39703</v>
      </c>
      <c r="N61" s="1265">
        <f t="shared" si="10"/>
        <v>20</v>
      </c>
      <c r="O61" s="1262">
        <v>308</v>
      </c>
      <c r="P61" s="1267">
        <v>-0.9</v>
      </c>
      <c r="Q61" s="1264">
        <v>393</v>
      </c>
      <c r="R61" s="106">
        <f t="shared" si="11"/>
        <v>241954.95980298379</v>
      </c>
      <c r="S61" s="90">
        <f t="shared" si="12"/>
        <v>-309688.22616744164</v>
      </c>
    </row>
    <row r="62" spans="1:20" x14ac:dyDescent="0.2">
      <c r="A62" s="344"/>
      <c r="B62" s="39">
        <f t="shared" si="7"/>
        <v>37647</v>
      </c>
      <c r="C62" s="96">
        <f t="shared" si="7"/>
        <v>26</v>
      </c>
      <c r="D62" s="89">
        <v>224.01</v>
      </c>
      <c r="E62" s="118">
        <v>1.99</v>
      </c>
      <c r="F62" s="102">
        <v>370.9</v>
      </c>
      <c r="G62" s="106">
        <f t="shared" si="1"/>
        <v>-266758.1596852665</v>
      </c>
      <c r="H62" s="90">
        <f t="shared" si="2"/>
        <v>-257695.35160986095</v>
      </c>
      <c r="I62" s="2"/>
      <c r="J62" s="4"/>
      <c r="M62" s="95">
        <f t="shared" si="9"/>
        <v>39704</v>
      </c>
      <c r="N62" s="1265">
        <f t="shared" si="10"/>
        <v>21</v>
      </c>
      <c r="O62" s="1262">
        <v>321</v>
      </c>
      <c r="P62" s="1267">
        <v>0.27</v>
      </c>
      <c r="Q62" s="1264">
        <v>389</v>
      </c>
      <c r="R62" s="106">
        <f t="shared" si="11"/>
        <v>302309.77900676156</v>
      </c>
      <c r="S62" s="90">
        <f t="shared" si="12"/>
        <v>-244805.63211838691</v>
      </c>
      <c r="T62" s="4"/>
    </row>
    <row r="63" spans="1:20" x14ac:dyDescent="0.2">
      <c r="A63" s="344"/>
      <c r="B63" s="39">
        <f t="shared" si="7"/>
        <v>37648</v>
      </c>
      <c r="C63" s="96">
        <f t="shared" si="7"/>
        <v>27</v>
      </c>
      <c r="D63" s="114">
        <v>238.01</v>
      </c>
      <c r="E63" s="115">
        <v>0.79</v>
      </c>
      <c r="F63" s="102">
        <v>372.1</v>
      </c>
      <c r="G63" s="106">
        <f t="shared" si="1"/>
        <v>-197127.87983580082</v>
      </c>
      <c r="H63" s="90">
        <f t="shared" si="2"/>
        <v>-315593.1066918954</v>
      </c>
      <c r="I63" s="2"/>
      <c r="J63" s="4"/>
      <c r="M63" s="95">
        <f t="shared" si="9"/>
        <v>39705</v>
      </c>
      <c r="N63" s="1265">
        <f t="shared" si="10"/>
        <v>22</v>
      </c>
      <c r="O63" s="1262">
        <v>334</v>
      </c>
      <c r="P63" s="1267">
        <v>1.44</v>
      </c>
      <c r="Q63" s="1264">
        <v>384</v>
      </c>
      <c r="R63" s="106">
        <f t="shared" si="11"/>
        <v>345136.91377888003</v>
      </c>
      <c r="S63" s="90">
        <f t="shared" si="12"/>
        <v>-168334.52036700587</v>
      </c>
      <c r="T63" s="4"/>
    </row>
    <row r="64" spans="1:20" ht="13.5" thickBot="1" x14ac:dyDescent="0.25">
      <c r="A64" s="344"/>
      <c r="B64" s="47">
        <f t="shared" si="7"/>
        <v>37649</v>
      </c>
      <c r="C64" s="97">
        <f t="shared" si="7"/>
        <v>28</v>
      </c>
      <c r="D64" s="116">
        <v>251.92</v>
      </c>
      <c r="E64" s="117">
        <v>-0.44</v>
      </c>
      <c r="F64" s="104">
        <v>373.7</v>
      </c>
      <c r="G64" s="107">
        <f t="shared" si="1"/>
        <v>-115975.78379435938</v>
      </c>
      <c r="H64" s="91">
        <f t="shared" si="2"/>
        <v>-355248.23373703635</v>
      </c>
      <c r="I64" s="2"/>
      <c r="J64" s="4"/>
      <c r="M64" s="95">
        <f t="shared" si="9"/>
        <v>39706</v>
      </c>
      <c r="N64" s="1265">
        <f t="shared" si="10"/>
        <v>23</v>
      </c>
      <c r="O64" s="1262">
        <v>348</v>
      </c>
      <c r="P64" s="1263">
        <v>2.5499999999999998</v>
      </c>
      <c r="Q64" s="1264">
        <v>380</v>
      </c>
      <c r="R64" s="106">
        <f t="shared" si="11"/>
        <v>371696.08827884612</v>
      </c>
      <c r="S64" s="90">
        <f t="shared" si="12"/>
        <v>-79006.442510748748</v>
      </c>
      <c r="T64" s="4"/>
    </row>
    <row r="65" spans="1:20" ht="13.5" thickBot="1" x14ac:dyDescent="0.25">
      <c r="A65" s="344"/>
      <c r="B65" s="386"/>
      <c r="C65" s="420"/>
      <c r="D65" s="451"/>
      <c r="E65" s="451"/>
      <c r="F65" s="451"/>
      <c r="G65" s="452"/>
      <c r="H65" s="453"/>
      <c r="I65" s="453"/>
      <c r="J65" s="450"/>
      <c r="K65" s="4"/>
      <c r="M65" s="95">
        <f t="shared" si="9"/>
        <v>39707</v>
      </c>
      <c r="N65" s="1265">
        <f t="shared" si="10"/>
        <v>24</v>
      </c>
      <c r="O65" s="1262">
        <v>1.35</v>
      </c>
      <c r="P65" s="1263">
        <v>3.55</v>
      </c>
      <c r="Q65" s="1264">
        <v>376</v>
      </c>
      <c r="R65" s="106">
        <f t="shared" si="11"/>
        <v>375895.63376196823</v>
      </c>
      <c r="S65" s="90">
        <f t="shared" si="12"/>
        <v>8858.4715774374181</v>
      </c>
      <c r="T65" s="4"/>
    </row>
    <row r="66" spans="1:20" x14ac:dyDescent="0.2">
      <c r="A66" s="344"/>
      <c r="B66" s="386"/>
      <c r="C66" s="345"/>
      <c r="D66" s="345"/>
      <c r="E66" s="345"/>
      <c r="F66" s="451"/>
      <c r="G66" s="452"/>
      <c r="H66" s="1490" t="s">
        <v>108</v>
      </c>
      <c r="I66" s="1491"/>
      <c r="J66" s="34"/>
      <c r="K66" s="2"/>
      <c r="M66" s="95">
        <f t="shared" si="9"/>
        <v>39708</v>
      </c>
      <c r="N66" s="1265">
        <f t="shared" si="10"/>
        <v>25</v>
      </c>
      <c r="O66" s="1262">
        <v>15.3</v>
      </c>
      <c r="P66" s="1263">
        <v>4.4000000000000004</v>
      </c>
      <c r="Q66" s="1264">
        <v>373</v>
      </c>
      <c r="R66" s="106">
        <f t="shared" si="11"/>
        <v>359779.91708475869</v>
      </c>
      <c r="S66" s="90">
        <f t="shared" si="12"/>
        <v>98424.647637084097</v>
      </c>
      <c r="T66" s="4"/>
    </row>
    <row r="67" spans="1:20" x14ac:dyDescent="0.2">
      <c r="A67" s="344"/>
      <c r="B67" s="386"/>
      <c r="C67" s="345"/>
      <c r="D67" s="345"/>
      <c r="E67" s="345"/>
      <c r="F67" s="451"/>
      <c r="G67" s="452"/>
      <c r="H67" s="454">
        <f>G59</f>
        <v>-370062.79070865002</v>
      </c>
      <c r="I67" s="455">
        <f>H59</f>
        <v>-10078.240566978127</v>
      </c>
      <c r="J67" s="34"/>
      <c r="K67" s="2"/>
      <c r="M67" s="95">
        <f t="shared" si="9"/>
        <v>39709</v>
      </c>
      <c r="N67" s="1265">
        <f t="shared" si="10"/>
        <v>26</v>
      </c>
      <c r="O67" s="1262">
        <v>29.4</v>
      </c>
      <c r="P67" s="1263">
        <v>4.9000000000000004</v>
      </c>
      <c r="Q67" s="1271">
        <v>371</v>
      </c>
      <c r="R67" s="106">
        <f t="shared" si="11"/>
        <v>323220.32392559032</v>
      </c>
      <c r="S67" s="90">
        <f t="shared" si="12"/>
        <v>182125.29259121724</v>
      </c>
    </row>
    <row r="68" spans="1:20" x14ac:dyDescent="0.2">
      <c r="A68" s="345"/>
      <c r="B68" s="386"/>
      <c r="C68" s="345"/>
      <c r="D68" s="345"/>
      <c r="E68" s="345"/>
      <c r="F68" s="451"/>
      <c r="G68" s="452"/>
      <c r="H68" s="456">
        <v>0</v>
      </c>
      <c r="I68" s="457">
        <v>0</v>
      </c>
      <c r="J68" s="34"/>
      <c r="K68" s="2"/>
      <c r="M68" s="95">
        <f t="shared" si="9"/>
        <v>39710</v>
      </c>
      <c r="N68" s="1265">
        <f t="shared" si="10"/>
        <v>27</v>
      </c>
      <c r="O68" s="1262">
        <v>43.7</v>
      </c>
      <c r="P68" s="1263">
        <v>5.2</v>
      </c>
      <c r="Q68" s="1264">
        <v>369</v>
      </c>
      <c r="R68" s="106">
        <f t="shared" si="11"/>
        <v>266774.87684063066</v>
      </c>
      <c r="S68" s="90">
        <f t="shared" si="12"/>
        <v>254935.60968736076</v>
      </c>
      <c r="T68" s="4"/>
    </row>
    <row r="69" spans="1:20" x14ac:dyDescent="0.2">
      <c r="B69" s="386"/>
      <c r="C69" s="345"/>
      <c r="D69" s="345"/>
      <c r="E69" s="345"/>
      <c r="F69" s="451"/>
      <c r="G69" s="452"/>
      <c r="H69" s="458">
        <f>G47</f>
        <v>365881.64411540871</v>
      </c>
      <c r="I69" s="459">
        <f>H47</f>
        <v>172014.86127484858</v>
      </c>
      <c r="J69" s="34"/>
      <c r="K69" s="2"/>
      <c r="M69" s="39">
        <f t="shared" si="9"/>
        <v>39711</v>
      </c>
      <c r="N69" s="96">
        <f t="shared" si="10"/>
        <v>28</v>
      </c>
      <c r="O69" s="1262">
        <v>58</v>
      </c>
      <c r="P69" s="1263">
        <v>5.0999999999999996</v>
      </c>
      <c r="Q69" s="1278">
        <v>369</v>
      </c>
      <c r="R69" s="1268">
        <f t="shared" si="11"/>
        <v>195540.20850205261</v>
      </c>
      <c r="S69" s="1269">
        <f t="shared" si="12"/>
        <v>312929.74748172116</v>
      </c>
      <c r="T69" s="1270" t="s">
        <v>229</v>
      </c>
    </row>
    <row r="70" spans="1:20" x14ac:dyDescent="0.2">
      <c r="B70" s="386"/>
      <c r="C70" s="345"/>
      <c r="D70" s="345"/>
      <c r="E70" s="345"/>
      <c r="F70" s="451"/>
      <c r="G70" s="452"/>
      <c r="H70" s="454">
        <f>G23</f>
        <v>394817.75935975095</v>
      </c>
      <c r="I70" s="455">
        <f>H23</f>
        <v>-92022.263035342636</v>
      </c>
      <c r="J70" s="34"/>
      <c r="K70" s="2"/>
      <c r="M70" s="39">
        <f t="shared" si="9"/>
        <v>39712</v>
      </c>
      <c r="N70" s="96">
        <f t="shared" si="10"/>
        <v>29</v>
      </c>
      <c r="O70" s="1262">
        <v>72.34</v>
      </c>
      <c r="P70" s="1263">
        <v>4.7</v>
      </c>
      <c r="Q70" s="1279">
        <v>369.1</v>
      </c>
      <c r="R70" s="106"/>
      <c r="S70" s="90"/>
      <c r="T70" s="4"/>
    </row>
    <row r="71" spans="1:20" ht="13.5" thickBot="1" x14ac:dyDescent="0.25">
      <c r="B71" s="386"/>
      <c r="C71" s="345"/>
      <c r="D71" s="345"/>
      <c r="E71" s="345"/>
      <c r="F71" s="451"/>
      <c r="G71" s="452"/>
      <c r="H71" s="456">
        <v>0</v>
      </c>
      <c r="I71" s="457">
        <v>0</v>
      </c>
      <c r="J71" s="34"/>
      <c r="K71" s="2"/>
      <c r="M71" s="47">
        <f t="shared" si="9"/>
        <v>39713</v>
      </c>
      <c r="N71" s="97">
        <f t="shared" si="10"/>
        <v>30</v>
      </c>
      <c r="O71" s="1320">
        <v>86.57</v>
      </c>
      <c r="P71" s="1322">
        <v>4.03</v>
      </c>
      <c r="Q71" s="1323">
        <v>370</v>
      </c>
      <c r="R71" s="107"/>
      <c r="S71" s="91"/>
    </row>
    <row r="72" spans="1:20" ht="13.5" thickBot="1" x14ac:dyDescent="0.25">
      <c r="B72" s="386"/>
      <c r="C72" s="345"/>
      <c r="D72" s="345"/>
      <c r="E72" s="345"/>
      <c r="F72" s="451"/>
      <c r="G72" s="460"/>
      <c r="H72" s="461">
        <f>G35</f>
        <v>-293381.81804332201</v>
      </c>
      <c r="I72" s="462">
        <f>H35</f>
        <v>208804.020175846</v>
      </c>
      <c r="J72" s="34"/>
      <c r="K72" s="2"/>
      <c r="M72" s="72"/>
      <c r="N72" s="62"/>
      <c r="O72" s="1287"/>
      <c r="P72" s="1288"/>
      <c r="Q72" s="1289"/>
      <c r="R72" s="1290"/>
      <c r="S72" s="453"/>
    </row>
    <row r="73" spans="1:20" x14ac:dyDescent="0.2">
      <c r="B73" s="386"/>
      <c r="C73" s="345"/>
      <c r="D73" s="345"/>
      <c r="E73" s="345"/>
      <c r="F73" s="451"/>
      <c r="G73" s="460"/>
      <c r="H73" s="345"/>
      <c r="I73" s="345"/>
      <c r="J73" s="420"/>
      <c r="K73" s="2"/>
    </row>
    <row r="74" spans="1:20" x14ac:dyDescent="0.2">
      <c r="B74" s="386"/>
      <c r="C74" s="345"/>
      <c r="D74" s="345"/>
      <c r="E74" s="345"/>
      <c r="F74" s="451"/>
      <c r="G74" s="460"/>
      <c r="H74" s="460"/>
      <c r="I74" s="387"/>
      <c r="J74" s="420"/>
      <c r="K74" s="2"/>
      <c r="Q74" s="1280" t="s">
        <v>106</v>
      </c>
      <c r="R74" s="1281"/>
    </row>
    <row r="75" spans="1:20" x14ac:dyDescent="0.2">
      <c r="B75" s="386"/>
      <c r="C75" s="985"/>
      <c r="D75" s="985"/>
      <c r="E75" s="985"/>
      <c r="F75" s="451"/>
      <c r="G75" s="460"/>
      <c r="H75" s="985"/>
      <c r="I75" s="985"/>
      <c r="J75" s="420"/>
      <c r="K75" s="2"/>
      <c r="Q75" s="1282" t="s">
        <v>10</v>
      </c>
      <c r="R75" s="1283" t="s">
        <v>11</v>
      </c>
    </row>
    <row r="76" spans="1:20" x14ac:dyDescent="0.2">
      <c r="A76" s="984"/>
      <c r="B76" s="420"/>
      <c r="C76" s="420"/>
      <c r="D76" s="420"/>
      <c r="E76" s="420"/>
      <c r="F76" s="420"/>
      <c r="G76" s="420"/>
      <c r="H76" s="420"/>
      <c r="I76" s="420"/>
      <c r="J76" s="344"/>
      <c r="K76" s="985"/>
      <c r="Q76" s="1284">
        <v>0</v>
      </c>
      <c r="R76" s="1285">
        <v>0</v>
      </c>
    </row>
    <row r="77" spans="1:20" ht="15" x14ac:dyDescent="0.25">
      <c r="A77" s="420"/>
      <c r="B77" s="1016"/>
      <c r="C77" s="1017"/>
      <c r="D77" s="1017"/>
      <c r="E77" s="1017"/>
      <c r="F77" s="1017"/>
      <c r="G77" s="1017"/>
      <c r="H77" s="1017"/>
      <c r="I77" s="1017"/>
      <c r="J77" s="344"/>
      <c r="K77" s="985"/>
    </row>
    <row r="78" spans="1:20" ht="15" customHeight="1" x14ac:dyDescent="0.2">
      <c r="A78" s="420"/>
      <c r="B78" s="985"/>
      <c r="C78" s="985"/>
      <c r="D78" s="556"/>
      <c r="E78" s="556"/>
      <c r="F78" s="556"/>
      <c r="G78" s="556"/>
      <c r="H78" s="556"/>
      <c r="I78" s="556"/>
      <c r="J78" s="556"/>
      <c r="K78" s="985"/>
    </row>
    <row r="79" spans="1:20" ht="14.1" customHeight="1" x14ac:dyDescent="0.25">
      <c r="A79" s="739"/>
      <c r="B79" s="420"/>
      <c r="C79" s="420"/>
      <c r="D79" s="1014"/>
      <c r="E79" s="1014"/>
      <c r="F79" s="1014"/>
      <c r="G79" s="738"/>
      <c r="H79" s="738"/>
      <c r="I79" s="466"/>
      <c r="J79" s="985"/>
      <c r="K79" s="345"/>
    </row>
    <row r="80" spans="1:20" x14ac:dyDescent="0.2">
      <c r="A80" s="420"/>
      <c r="B80" s="985"/>
      <c r="C80" s="420"/>
      <c r="D80" s="569"/>
      <c r="E80" s="569"/>
      <c r="F80" s="1018"/>
      <c r="G80" s="420"/>
      <c r="H80" s="420"/>
      <c r="I80" s="985"/>
      <c r="J80" s="985"/>
      <c r="K80" s="345"/>
    </row>
    <row r="81" spans="1:11" x14ac:dyDescent="0.2">
      <c r="A81" s="420"/>
      <c r="B81" s="386"/>
      <c r="C81" s="985"/>
      <c r="D81" s="985"/>
      <c r="E81" s="985"/>
      <c r="F81" s="985"/>
      <c r="G81" s="985"/>
      <c r="H81" s="985"/>
      <c r="I81" s="985"/>
      <c r="J81" s="985"/>
      <c r="K81" s="345"/>
    </row>
    <row r="82" spans="1:11" x14ac:dyDescent="0.2">
      <c r="A82" s="420"/>
      <c r="B82" s="386"/>
      <c r="C82" s="420"/>
      <c r="D82" s="1015"/>
      <c r="E82" s="1015"/>
      <c r="F82" s="452"/>
      <c r="G82" s="453"/>
      <c r="H82" s="453"/>
      <c r="I82" s="985"/>
      <c r="J82" s="985"/>
      <c r="K82" s="345"/>
    </row>
    <row r="83" spans="1:11" x14ac:dyDescent="0.2">
      <c r="A83" s="420"/>
      <c r="B83" s="386"/>
      <c r="C83" s="420"/>
      <c r="D83" s="1015"/>
      <c r="E83" s="1015"/>
      <c r="F83" s="452"/>
      <c r="G83" s="453"/>
      <c r="H83" s="453"/>
      <c r="I83" s="985"/>
      <c r="J83" s="985"/>
      <c r="K83" s="345"/>
    </row>
    <row r="84" spans="1:11" x14ac:dyDescent="0.2">
      <c r="A84" s="420"/>
      <c r="B84" s="386"/>
      <c r="C84" s="420"/>
      <c r="D84" s="1015"/>
      <c r="E84" s="1015"/>
      <c r="F84" s="452"/>
      <c r="G84" s="453"/>
      <c r="H84" s="453"/>
      <c r="I84" s="466"/>
      <c r="J84" s="985"/>
      <c r="K84" s="345"/>
    </row>
    <row r="85" spans="1:11" x14ac:dyDescent="0.2">
      <c r="A85" s="420"/>
      <c r="B85" s="386"/>
      <c r="C85" s="420"/>
      <c r="D85" s="1015"/>
      <c r="E85" s="1015"/>
      <c r="F85" s="452"/>
      <c r="G85" s="453"/>
      <c r="H85" s="453"/>
      <c r="I85" s="466"/>
      <c r="J85" s="985"/>
      <c r="K85" s="345"/>
    </row>
    <row r="86" spans="1:11" x14ac:dyDescent="0.2">
      <c r="A86" s="420"/>
      <c r="B86" s="386"/>
      <c r="C86" s="420"/>
      <c r="D86" s="1015"/>
      <c r="E86" s="1015"/>
      <c r="F86" s="452"/>
      <c r="G86" s="453"/>
      <c r="H86" s="453"/>
      <c r="I86" s="466"/>
      <c r="J86" s="985"/>
      <c r="K86" s="345"/>
    </row>
    <row r="87" spans="1:11" x14ac:dyDescent="0.2">
      <c r="A87" s="420"/>
      <c r="B87" s="386"/>
      <c r="C87" s="420"/>
      <c r="D87" s="1015"/>
      <c r="E87" s="1015"/>
      <c r="F87" s="452"/>
      <c r="G87" s="453"/>
      <c r="H87" s="453"/>
      <c r="I87" s="466"/>
      <c r="J87" s="985"/>
      <c r="K87" s="345"/>
    </row>
    <row r="88" spans="1:11" x14ac:dyDescent="0.2">
      <c r="A88" s="420"/>
      <c r="B88" s="386"/>
      <c r="C88" s="420"/>
      <c r="D88" s="1015"/>
      <c r="E88" s="1015"/>
      <c r="F88" s="452"/>
      <c r="G88" s="453"/>
      <c r="H88" s="453"/>
      <c r="I88" s="466"/>
      <c r="J88" s="985"/>
      <c r="K88" s="529"/>
    </row>
    <row r="89" spans="1:11" x14ac:dyDescent="0.2">
      <c r="A89" s="420"/>
      <c r="B89" s="386"/>
      <c r="C89" s="420"/>
      <c r="D89" s="1015"/>
      <c r="E89" s="1015"/>
      <c r="F89" s="452"/>
      <c r="G89" s="453"/>
      <c r="H89" s="453"/>
      <c r="I89" s="466"/>
      <c r="J89" s="985"/>
      <c r="K89" s="345"/>
    </row>
    <row r="90" spans="1:11" x14ac:dyDescent="0.2">
      <c r="A90" s="420"/>
      <c r="B90" s="386"/>
      <c r="C90" s="420"/>
      <c r="D90" s="1015"/>
      <c r="E90" s="1015"/>
      <c r="F90" s="452"/>
      <c r="G90" s="453"/>
      <c r="H90" s="453"/>
      <c r="I90" s="466"/>
      <c r="J90" s="985"/>
      <c r="K90" s="345"/>
    </row>
    <row r="91" spans="1:11" x14ac:dyDescent="0.2">
      <c r="A91" s="420"/>
      <c r="B91" s="386"/>
      <c r="C91" s="420"/>
      <c r="D91" s="1015"/>
      <c r="E91" s="1015"/>
      <c r="F91" s="452"/>
      <c r="G91" s="453"/>
      <c r="H91" s="453"/>
      <c r="I91" s="466"/>
      <c r="J91" s="985"/>
      <c r="K91" s="345"/>
    </row>
    <row r="92" spans="1:11" x14ac:dyDescent="0.2">
      <c r="A92" s="420"/>
      <c r="B92" s="386"/>
      <c r="C92" s="420"/>
      <c r="D92" s="1015"/>
      <c r="E92" s="1015"/>
      <c r="F92" s="452"/>
      <c r="G92" s="453"/>
      <c r="H92" s="453"/>
      <c r="I92" s="985"/>
      <c r="J92" s="985"/>
      <c r="K92" s="345"/>
    </row>
    <row r="93" spans="1:11" x14ac:dyDescent="0.2">
      <c r="A93" s="420"/>
      <c r="B93" s="386"/>
      <c r="C93" s="420"/>
      <c r="D93" s="1015"/>
      <c r="E93" s="1015"/>
      <c r="F93" s="452"/>
      <c r="G93" s="453"/>
      <c r="H93" s="453"/>
      <c r="I93" s="985"/>
      <c r="J93" s="985"/>
      <c r="K93" s="345"/>
    </row>
    <row r="94" spans="1:11" x14ac:dyDescent="0.2">
      <c r="A94" s="420"/>
      <c r="B94" s="386"/>
      <c r="C94" s="420"/>
      <c r="D94" s="1015"/>
      <c r="E94" s="1015"/>
      <c r="F94" s="452"/>
      <c r="G94" s="453"/>
      <c r="H94" s="453"/>
      <c r="I94" s="985"/>
      <c r="J94" s="985"/>
      <c r="K94" s="345"/>
    </row>
    <row r="95" spans="1:11" x14ac:dyDescent="0.2">
      <c r="A95" s="420"/>
      <c r="B95" s="386"/>
      <c r="C95" s="420"/>
      <c r="D95" s="1015"/>
      <c r="E95" s="1015"/>
      <c r="F95" s="452"/>
      <c r="G95" s="453"/>
      <c r="H95" s="453"/>
      <c r="I95" s="466"/>
      <c r="J95" s="985"/>
      <c r="K95" s="345"/>
    </row>
    <row r="96" spans="1:11" x14ac:dyDescent="0.2">
      <c r="A96" s="420"/>
      <c r="B96" s="386"/>
      <c r="C96" s="420"/>
      <c r="D96" s="1015"/>
      <c r="E96" s="1015"/>
      <c r="F96" s="452"/>
      <c r="G96" s="453"/>
      <c r="H96" s="453"/>
      <c r="I96" s="985"/>
      <c r="J96" s="985"/>
      <c r="K96" s="345"/>
    </row>
    <row r="97" spans="1:11" x14ac:dyDescent="0.2">
      <c r="A97" s="420"/>
      <c r="B97" s="386"/>
      <c r="C97" s="420"/>
      <c r="D97" s="1015"/>
      <c r="E97" s="1015"/>
      <c r="F97" s="452"/>
      <c r="G97" s="453"/>
      <c r="H97" s="453"/>
      <c r="I97" s="985"/>
      <c r="J97" s="985"/>
      <c r="K97" s="345"/>
    </row>
    <row r="98" spans="1:11" x14ac:dyDescent="0.2">
      <c r="A98" s="420"/>
      <c r="B98" s="386"/>
      <c r="C98" s="420"/>
      <c r="D98" s="1015"/>
      <c r="E98" s="1015"/>
      <c r="F98" s="452"/>
      <c r="G98" s="453"/>
      <c r="H98" s="453"/>
      <c r="I98" s="985"/>
      <c r="J98" s="985"/>
      <c r="K98" s="345"/>
    </row>
    <row r="99" spans="1:11" x14ac:dyDescent="0.2">
      <c r="A99" s="420"/>
      <c r="B99" s="386"/>
      <c r="C99" s="420"/>
      <c r="D99" s="1015"/>
      <c r="E99" s="1015"/>
      <c r="F99" s="452"/>
      <c r="G99" s="453"/>
      <c r="H99" s="453"/>
      <c r="I99" s="985"/>
      <c r="J99" s="985"/>
      <c r="K99" s="345"/>
    </row>
    <row r="100" spans="1:11" x14ac:dyDescent="0.2">
      <c r="A100" s="420"/>
      <c r="B100" s="386"/>
      <c r="C100" s="420"/>
      <c r="D100" s="1015"/>
      <c r="E100" s="1015"/>
      <c r="F100" s="452"/>
      <c r="G100" s="453"/>
      <c r="H100" s="453"/>
      <c r="I100" s="466"/>
      <c r="J100" s="985"/>
      <c r="K100" s="345"/>
    </row>
    <row r="101" spans="1:11" x14ac:dyDescent="0.2">
      <c r="A101" s="420"/>
      <c r="B101" s="1006"/>
      <c r="C101" s="1006"/>
      <c r="D101" s="1006"/>
      <c r="E101" s="1006"/>
      <c r="F101" s="1006"/>
      <c r="G101" s="1006"/>
      <c r="H101" s="1006"/>
      <c r="I101" s="985"/>
      <c r="J101" s="345"/>
      <c r="K101" s="345"/>
    </row>
    <row r="102" spans="1:11" x14ac:dyDescent="0.2">
      <c r="A102" s="985"/>
      <c r="B102" s="345"/>
      <c r="C102" s="345"/>
      <c r="D102" s="345"/>
      <c r="E102" s="345"/>
      <c r="F102" s="345"/>
      <c r="G102" s="463"/>
      <c r="H102" s="345"/>
      <c r="I102" s="345"/>
      <c r="J102" s="345"/>
      <c r="K102" s="345"/>
    </row>
    <row r="103" spans="1:11" x14ac:dyDescent="0.2">
      <c r="A103" s="345"/>
      <c r="B103" s="345"/>
      <c r="C103" s="345"/>
      <c r="D103" s="345"/>
      <c r="E103" s="345"/>
      <c r="F103" s="345"/>
      <c r="G103" s="345"/>
      <c r="H103" s="345"/>
      <c r="I103" s="345"/>
      <c r="J103" s="345"/>
      <c r="K103" s="345"/>
    </row>
    <row r="104" spans="1:11" x14ac:dyDescent="0.2">
      <c r="A104" s="345"/>
      <c r="B104" s="345"/>
      <c r="C104" s="345"/>
      <c r="D104" s="345"/>
      <c r="E104" s="345"/>
      <c r="F104" s="345"/>
      <c r="G104" s="345"/>
      <c r="H104" s="345"/>
      <c r="I104" s="345"/>
      <c r="J104" s="345"/>
      <c r="K104" s="345"/>
    </row>
    <row r="105" spans="1:11" x14ac:dyDescent="0.2">
      <c r="A105" s="345"/>
      <c r="B105" s="345"/>
      <c r="C105" s="345"/>
      <c r="D105" s="345"/>
      <c r="E105" s="345"/>
      <c r="F105" s="345"/>
      <c r="G105" s="345"/>
      <c r="H105" s="345"/>
      <c r="I105" s="345"/>
      <c r="J105" s="345"/>
      <c r="K105" s="345"/>
    </row>
    <row r="106" spans="1:11" x14ac:dyDescent="0.2">
      <c r="A106" s="345"/>
      <c r="B106" s="345"/>
      <c r="C106" s="345"/>
      <c r="D106" s="345"/>
      <c r="E106" s="345"/>
      <c r="F106" s="345"/>
      <c r="G106" s="345"/>
      <c r="H106" s="345"/>
      <c r="I106" s="345"/>
      <c r="J106" s="345"/>
      <c r="K106" s="345"/>
    </row>
    <row r="107" spans="1:11" x14ac:dyDescent="0.2">
      <c r="A107" s="345"/>
      <c r="B107" s="345"/>
      <c r="C107" s="345"/>
      <c r="D107" s="345"/>
      <c r="E107" s="345"/>
      <c r="F107" s="345"/>
      <c r="G107" s="345"/>
      <c r="H107" s="345"/>
      <c r="I107" s="345"/>
      <c r="J107" s="345"/>
      <c r="K107" s="345"/>
    </row>
    <row r="108" spans="1:11" x14ac:dyDescent="0.2">
      <c r="A108" s="345"/>
      <c r="B108" s="345"/>
      <c r="C108" s="345"/>
      <c r="D108" s="345"/>
      <c r="E108" s="345"/>
      <c r="F108" s="345"/>
      <c r="G108" s="345"/>
      <c r="H108" s="345"/>
      <c r="I108" s="345"/>
      <c r="J108" s="345"/>
    </row>
    <row r="109" spans="1:11" x14ac:dyDescent="0.2">
      <c r="B109" s="345"/>
      <c r="C109" s="345"/>
      <c r="D109" s="345"/>
      <c r="E109" s="345"/>
      <c r="F109" s="345"/>
      <c r="G109" s="345"/>
      <c r="H109" s="345"/>
      <c r="I109" s="345"/>
      <c r="J109" s="345"/>
    </row>
    <row r="110" spans="1:11" x14ac:dyDescent="0.2">
      <c r="B110" s="345"/>
      <c r="C110" s="345"/>
      <c r="D110" s="345"/>
      <c r="E110" s="345"/>
      <c r="F110" s="345"/>
      <c r="G110" s="345"/>
      <c r="H110" s="345"/>
      <c r="I110" s="345"/>
      <c r="J110" s="345"/>
    </row>
    <row r="111" spans="1:11" x14ac:dyDescent="0.2">
      <c r="B111" s="345"/>
      <c r="C111" s="345"/>
      <c r="D111" s="345"/>
      <c r="E111" s="345"/>
      <c r="F111" s="345"/>
      <c r="G111" s="345"/>
      <c r="H111" s="345"/>
      <c r="I111" s="345"/>
      <c r="J111" s="345"/>
    </row>
    <row r="112" spans="1:11" x14ac:dyDescent="0.2">
      <c r="B112" s="345"/>
      <c r="C112" s="345"/>
      <c r="D112" s="345"/>
      <c r="E112" s="345"/>
      <c r="F112" s="345"/>
      <c r="G112" s="345"/>
      <c r="H112" s="345"/>
      <c r="I112" s="345"/>
      <c r="J112" s="345"/>
    </row>
    <row r="113" spans="1:10" x14ac:dyDescent="0.2">
      <c r="B113" s="345"/>
      <c r="C113" s="345"/>
      <c r="D113" s="345"/>
      <c r="E113" s="345"/>
      <c r="F113" s="345"/>
      <c r="G113" s="345"/>
      <c r="H113" s="345"/>
      <c r="I113" s="345"/>
      <c r="J113" s="345"/>
    </row>
    <row r="114" spans="1:10" x14ac:dyDescent="0.2">
      <c r="B114" s="345"/>
      <c r="C114" s="345"/>
      <c r="D114" s="345"/>
      <c r="E114" s="345"/>
      <c r="F114" s="345"/>
      <c r="G114" s="345"/>
      <c r="H114" s="345"/>
      <c r="I114" s="345"/>
      <c r="J114" s="345"/>
    </row>
    <row r="115" spans="1:10" x14ac:dyDescent="0.2">
      <c r="B115" s="345"/>
      <c r="C115" s="345"/>
      <c r="D115" s="345"/>
      <c r="E115" s="345"/>
      <c r="F115" s="345"/>
      <c r="G115" s="345"/>
      <c r="H115" s="345"/>
      <c r="I115" s="345"/>
      <c r="J115" s="345"/>
    </row>
    <row r="116" spans="1:10" x14ac:dyDescent="0.2">
      <c r="B116" s="345"/>
      <c r="C116" s="345"/>
      <c r="D116" s="345"/>
      <c r="E116" s="345"/>
      <c r="F116" s="345"/>
      <c r="G116" s="345"/>
      <c r="H116" s="345"/>
      <c r="I116" s="345"/>
      <c r="J116" s="345"/>
    </row>
    <row r="117" spans="1:10" x14ac:dyDescent="0.2">
      <c r="B117" s="345"/>
      <c r="C117" s="345"/>
      <c r="D117" s="345"/>
      <c r="E117" s="345"/>
      <c r="F117" s="345"/>
      <c r="G117" s="345"/>
      <c r="H117" s="345"/>
      <c r="I117" s="345"/>
      <c r="J117" s="345"/>
    </row>
    <row r="122" spans="1:10" x14ac:dyDescent="0.2">
      <c r="B122" s="3"/>
      <c r="C122" s="3"/>
      <c r="D122" s="3"/>
      <c r="E122" s="3"/>
    </row>
    <row r="123" spans="1:10" x14ac:dyDescent="0.2">
      <c r="A123" s="3"/>
      <c r="B123" s="3"/>
      <c r="C123" s="3"/>
      <c r="D123" s="3"/>
      <c r="E123" s="3"/>
    </row>
    <row r="124" spans="1:10" x14ac:dyDescent="0.2">
      <c r="A124" s="3"/>
      <c r="B124" s="3"/>
      <c r="C124" s="3"/>
      <c r="D124" s="3"/>
      <c r="E124" s="3"/>
    </row>
    <row r="125" spans="1:10" x14ac:dyDescent="0.2">
      <c r="A125" s="3"/>
      <c r="B125" s="3"/>
      <c r="C125" s="3"/>
      <c r="D125" s="3"/>
      <c r="E125" s="3"/>
    </row>
    <row r="126" spans="1:10" x14ac:dyDescent="0.2">
      <c r="A126" s="3"/>
      <c r="B126" s="3"/>
      <c r="C126" s="3"/>
      <c r="D126" s="3"/>
      <c r="E126" s="3"/>
    </row>
    <row r="127" spans="1:10" x14ac:dyDescent="0.2">
      <c r="A127" s="3"/>
      <c r="B127" s="3"/>
      <c r="C127" s="3"/>
      <c r="D127" s="3"/>
      <c r="E127" s="3"/>
    </row>
    <row r="128" spans="1:10" x14ac:dyDescent="0.2">
      <c r="A128" s="3"/>
      <c r="B128" s="3"/>
      <c r="C128" s="3"/>
      <c r="D128" s="3"/>
      <c r="E128" s="3"/>
    </row>
    <row r="129" spans="1:5" x14ac:dyDescent="0.2">
      <c r="A129" s="3"/>
      <c r="B129" s="3"/>
      <c r="C129" s="3"/>
      <c r="D129" s="3"/>
      <c r="E129" s="3"/>
    </row>
    <row r="130" spans="1:5" x14ac:dyDescent="0.2">
      <c r="A130" s="3"/>
      <c r="B130" s="3"/>
      <c r="C130" s="3"/>
      <c r="D130" s="3"/>
      <c r="E130" s="3"/>
    </row>
    <row r="131" spans="1:5" x14ac:dyDescent="0.2">
      <c r="A131" s="3"/>
      <c r="B131" s="3"/>
      <c r="C131" s="3"/>
      <c r="D131" s="3"/>
      <c r="E131" s="3"/>
    </row>
    <row r="132" spans="1:5" x14ac:dyDescent="0.2">
      <c r="A132" s="3"/>
      <c r="B132" s="3"/>
      <c r="C132" s="3"/>
      <c r="D132" s="3"/>
      <c r="E132" s="3"/>
    </row>
    <row r="133" spans="1:5" x14ac:dyDescent="0.2">
      <c r="A133" s="3"/>
      <c r="B133" s="3"/>
      <c r="C133" s="3"/>
      <c r="D133" s="3"/>
      <c r="E133" s="3"/>
    </row>
    <row r="134" spans="1:5" x14ac:dyDescent="0.2">
      <c r="A134" s="3"/>
      <c r="B134" s="3"/>
      <c r="C134" s="3"/>
      <c r="D134" s="3"/>
      <c r="E134" s="3"/>
    </row>
    <row r="135" spans="1:5" x14ac:dyDescent="0.2">
      <c r="A135" s="3"/>
      <c r="B135" s="3"/>
      <c r="C135" s="3"/>
      <c r="D135" s="3"/>
      <c r="E135" s="3"/>
    </row>
    <row r="136" spans="1:5" x14ac:dyDescent="0.2">
      <c r="A136" s="3"/>
      <c r="B136" s="3"/>
      <c r="C136" s="3"/>
      <c r="D136" s="3"/>
      <c r="E136" s="3"/>
    </row>
    <row r="137" spans="1:5" x14ac:dyDescent="0.2">
      <c r="A137" s="3"/>
      <c r="B137" s="3"/>
      <c r="C137" s="3"/>
      <c r="D137" s="3"/>
      <c r="E137" s="3"/>
    </row>
    <row r="138" spans="1:5" x14ac:dyDescent="0.2">
      <c r="A138" s="3"/>
      <c r="B138" s="3"/>
      <c r="C138" s="3"/>
      <c r="D138" s="3"/>
      <c r="E138" s="3"/>
    </row>
    <row r="139" spans="1:5" x14ac:dyDescent="0.2">
      <c r="A139" s="3"/>
      <c r="B139" s="3"/>
      <c r="C139" s="3"/>
      <c r="D139" s="3"/>
      <c r="E139" s="3"/>
    </row>
    <row r="140" spans="1:5" x14ac:dyDescent="0.2">
      <c r="A140" s="3"/>
      <c r="B140" s="3"/>
      <c r="C140" s="3"/>
      <c r="D140" s="3"/>
      <c r="E140" s="3"/>
    </row>
    <row r="141" spans="1:5" x14ac:dyDescent="0.2">
      <c r="A141" s="3"/>
      <c r="B141" s="3"/>
      <c r="C141" s="3"/>
      <c r="D141" s="3"/>
      <c r="E141" s="3"/>
    </row>
    <row r="142" spans="1:5" x14ac:dyDescent="0.2">
      <c r="A142" s="3"/>
      <c r="B142" s="3"/>
      <c r="C142" s="3"/>
      <c r="D142" s="3"/>
      <c r="E142" s="3"/>
    </row>
    <row r="143" spans="1:5" x14ac:dyDescent="0.2">
      <c r="A143" s="3"/>
      <c r="B143" s="3"/>
      <c r="C143" s="3"/>
      <c r="D143" s="3"/>
      <c r="E143" s="3"/>
    </row>
    <row r="144" spans="1:5" x14ac:dyDescent="0.2">
      <c r="A144" s="3"/>
      <c r="B144" s="3"/>
      <c r="C144" s="3"/>
      <c r="D144" s="3"/>
      <c r="E144" s="3"/>
    </row>
    <row r="145" spans="1:5" x14ac:dyDescent="0.2">
      <c r="A145" s="3"/>
      <c r="B145" s="3"/>
      <c r="C145" s="3"/>
      <c r="D145" s="3"/>
      <c r="E145" s="3"/>
    </row>
    <row r="146" spans="1:5" x14ac:dyDescent="0.2">
      <c r="A146" s="3"/>
      <c r="B146" s="3"/>
      <c r="C146" s="3"/>
      <c r="D146" s="3"/>
      <c r="E146" s="3"/>
    </row>
    <row r="147" spans="1:5" x14ac:dyDescent="0.2">
      <c r="A147" s="3"/>
      <c r="B147" s="3"/>
      <c r="C147" s="3"/>
      <c r="D147" s="3"/>
      <c r="E147" s="3"/>
    </row>
    <row r="148" spans="1:5" x14ac:dyDescent="0.2">
      <c r="A148" s="3"/>
      <c r="B148" s="3"/>
      <c r="C148" s="3"/>
      <c r="D148" s="3"/>
      <c r="E148" s="3"/>
    </row>
    <row r="149" spans="1:5" x14ac:dyDescent="0.2">
      <c r="A149" s="3"/>
      <c r="B149" s="3"/>
      <c r="C149" s="3"/>
      <c r="D149" s="3"/>
      <c r="E149" s="3"/>
    </row>
    <row r="150" spans="1:5" x14ac:dyDescent="0.2">
      <c r="A150" s="3"/>
      <c r="B150" s="3"/>
      <c r="C150" s="3"/>
      <c r="D150" s="3"/>
      <c r="E150" s="3"/>
    </row>
    <row r="151" spans="1:5" x14ac:dyDescent="0.2">
      <c r="A151" s="3"/>
      <c r="B151" s="3"/>
      <c r="C151" s="3"/>
      <c r="D151" s="3"/>
      <c r="E151" s="3"/>
    </row>
    <row r="152" spans="1:5" x14ac:dyDescent="0.2">
      <c r="A152" s="3"/>
      <c r="B152" s="3"/>
      <c r="C152" s="3"/>
      <c r="D152" s="3"/>
      <c r="E152" s="3"/>
    </row>
    <row r="153" spans="1:5" x14ac:dyDescent="0.2">
      <c r="A153" s="3"/>
      <c r="B153" s="3"/>
      <c r="C153" s="3"/>
      <c r="D153" s="3"/>
      <c r="E153" s="3"/>
    </row>
    <row r="154" spans="1:5" x14ac:dyDescent="0.2">
      <c r="A154" s="3"/>
      <c r="B154" s="3"/>
      <c r="C154" s="3"/>
      <c r="D154" s="3"/>
      <c r="E154" s="3"/>
    </row>
    <row r="155" spans="1:5" x14ac:dyDescent="0.2">
      <c r="A155" s="3"/>
      <c r="B155" s="3"/>
      <c r="C155" s="3"/>
      <c r="D155" s="3"/>
      <c r="E155" s="3"/>
    </row>
    <row r="156" spans="1:5" x14ac:dyDescent="0.2">
      <c r="A156" s="3"/>
      <c r="B156" s="3"/>
      <c r="C156" s="3"/>
      <c r="D156" s="3"/>
      <c r="E156" s="3"/>
    </row>
    <row r="157" spans="1:5" x14ac:dyDescent="0.2">
      <c r="A157" s="3"/>
    </row>
  </sheetData>
  <mergeCells count="5">
    <mergeCell ref="H66:I66"/>
    <mergeCell ref="B1:I1"/>
    <mergeCell ref="D2:H2"/>
    <mergeCell ref="M1:T1"/>
    <mergeCell ref="M38:T38"/>
  </mergeCells>
  <phoneticPr fontId="0" type="noConversion"/>
  <pageMargins left="0.78740157499999996" right="0.78740157499999996" top="0.984251969" bottom="0.984251969" header="0.4921259845" footer="0.4921259845"/>
  <pageSetup paperSize="9" orientation="landscape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AE161"/>
  <sheetViews>
    <sheetView topLeftCell="A58" workbookViewId="0">
      <selection activeCell="G28" sqref="G28"/>
    </sheetView>
  </sheetViews>
  <sheetFormatPr baseColWidth="10" defaultColWidth="7.7109375" defaultRowHeight="12.75" x14ac:dyDescent="0.2"/>
  <cols>
    <col min="1" max="1" width="10.42578125" bestFit="1" customWidth="1"/>
    <col min="2" max="2" width="5.7109375" customWidth="1"/>
    <col min="3" max="5" width="6.7109375" customWidth="1"/>
    <col min="6" max="7" width="8.7109375" customWidth="1"/>
    <col min="8" max="8" width="9.7109375" customWidth="1"/>
    <col min="9" max="10" width="7.7109375" customWidth="1"/>
    <col min="11" max="11" width="6.7109375" customWidth="1"/>
    <col min="13" max="13" width="10.42578125" bestFit="1" customWidth="1"/>
    <col min="14" max="14" width="5.7109375" customWidth="1"/>
  </cols>
  <sheetData>
    <row r="1" spans="1:31" ht="15" x14ac:dyDescent="0.25">
      <c r="B1" s="1382" t="s">
        <v>213</v>
      </c>
      <c r="C1" s="1383"/>
      <c r="D1" s="1383"/>
      <c r="E1" s="1383"/>
      <c r="F1" s="1382" t="s">
        <v>92</v>
      </c>
      <c r="G1" s="1383"/>
      <c r="H1" s="1416"/>
      <c r="I1" s="1410" t="s">
        <v>95</v>
      </c>
      <c r="J1" s="1410"/>
      <c r="K1" s="1411"/>
      <c r="N1" s="1382" t="s">
        <v>214</v>
      </c>
      <c r="O1" s="1383"/>
      <c r="P1" s="1383"/>
      <c r="Q1" s="1383"/>
      <c r="R1" s="1325" t="s">
        <v>92</v>
      </c>
      <c r="S1" s="1326"/>
      <c r="T1" s="1416"/>
      <c r="AB1" s="1335"/>
      <c r="AC1" s="1427"/>
      <c r="AD1" s="1427"/>
      <c r="AE1" s="1427"/>
    </row>
    <row r="2" spans="1:31" ht="13.5" thickBot="1" x14ac:dyDescent="0.25">
      <c r="B2" s="1022" t="s">
        <v>172</v>
      </c>
      <c r="C2" s="1054" t="s">
        <v>2</v>
      </c>
      <c r="D2" s="1052" t="s">
        <v>10</v>
      </c>
      <c r="E2" s="1052" t="s">
        <v>11</v>
      </c>
      <c r="F2" s="1221" t="s">
        <v>10</v>
      </c>
      <c r="G2" s="1222" t="s">
        <v>11</v>
      </c>
      <c r="H2" s="1223"/>
      <c r="I2" s="1054" t="s">
        <v>2</v>
      </c>
      <c r="J2" s="1052" t="s">
        <v>10</v>
      </c>
      <c r="K2" s="1053" t="s">
        <v>11</v>
      </c>
      <c r="L2" s="734"/>
      <c r="N2" s="1022" t="s">
        <v>172</v>
      </c>
      <c r="O2" s="1054" t="s">
        <v>2</v>
      </c>
      <c r="P2" s="1052" t="s">
        <v>10</v>
      </c>
      <c r="Q2" s="1052" t="s">
        <v>11</v>
      </c>
      <c r="R2" s="1221" t="s">
        <v>10</v>
      </c>
      <c r="S2" s="1222" t="s">
        <v>11</v>
      </c>
      <c r="T2" s="1223"/>
      <c r="AB2" s="738"/>
      <c r="AC2" s="738"/>
      <c r="AD2" s="738"/>
      <c r="AE2" s="738"/>
    </row>
    <row r="3" spans="1:31" x14ac:dyDescent="0.2">
      <c r="A3" s="292" t="s">
        <v>89</v>
      </c>
      <c r="B3" s="1055">
        <v>0</v>
      </c>
      <c r="C3" s="1056">
        <f t="shared" ref="C3:C34" si="0">$G$12*(1-$G$13^2)/(1+$G$13*COS($G$11*B3))</f>
        <v>0.35</v>
      </c>
      <c r="D3" s="1057">
        <f t="shared" ref="D3:D34" si="1">C3*COS(B3)</f>
        <v>0.35</v>
      </c>
      <c r="E3" s="1227">
        <f t="shared" ref="E3:E34" si="2">C3*SIN(B3)</f>
        <v>0</v>
      </c>
      <c r="F3" s="1219">
        <f>J34</f>
        <v>-1.6459293892976312</v>
      </c>
      <c r="G3" s="1219">
        <f>E3</f>
        <v>0</v>
      </c>
      <c r="H3" s="542" t="s">
        <v>126</v>
      </c>
      <c r="I3" s="1215">
        <f t="shared" ref="I3:I35" si="3">$G$12*(1-$G$13^2)/(1+$G$13*COS(B3))</f>
        <v>0.35</v>
      </c>
      <c r="J3" s="1061">
        <f>I3*COS(B3)</f>
        <v>0.35</v>
      </c>
      <c r="K3" s="1062">
        <f>I3*SIN(B3)</f>
        <v>0</v>
      </c>
      <c r="L3" s="216"/>
      <c r="M3" s="292" t="s">
        <v>89</v>
      </c>
      <c r="N3" s="1055">
        <v>0</v>
      </c>
      <c r="O3" s="1056">
        <f t="shared" ref="O3:O34" si="4">$G$12*(1-$G$13^2)/(1+$G$13*COS($H$11*N3))</f>
        <v>0.35</v>
      </c>
      <c r="P3" s="1057">
        <f t="shared" ref="P3:P66" si="5">O3*COS(N3)</f>
        <v>0.35</v>
      </c>
      <c r="Q3" s="1058">
        <f t="shared" ref="Q3:Q66" si="6">O3*SIN(N3)</f>
        <v>0</v>
      </c>
      <c r="R3" s="1059">
        <f>P31</f>
        <v>-1.5546217103361029</v>
      </c>
      <c r="S3" s="1219">
        <f>Q31</f>
        <v>0.55271439495705577</v>
      </c>
      <c r="T3" s="542" t="s">
        <v>96</v>
      </c>
      <c r="AB3" s="1024"/>
      <c r="AC3" s="1023"/>
      <c r="AD3" s="1023"/>
      <c r="AE3" s="1023"/>
    </row>
    <row r="4" spans="1:31" x14ac:dyDescent="0.2">
      <c r="B4" s="1043">
        <v>0.1</v>
      </c>
      <c r="C4" s="123">
        <f t="shared" si="0"/>
        <v>0.35053433674944873</v>
      </c>
      <c r="D4" s="154">
        <f t="shared" si="1"/>
        <v>0.34878312513867166</v>
      </c>
      <c r="E4" s="293">
        <f t="shared" si="2"/>
        <v>3.4995040489727278E-2</v>
      </c>
      <c r="F4" s="284">
        <f>J3</f>
        <v>0.35</v>
      </c>
      <c r="G4" s="284">
        <f>E3</f>
        <v>0</v>
      </c>
      <c r="H4" s="542" t="s">
        <v>127</v>
      </c>
      <c r="I4" s="349">
        <f t="shared" si="3"/>
        <v>0.35069017794482465</v>
      </c>
      <c r="J4" s="350">
        <f t="shared" ref="J4:J26" si="7">I4*COS(B4)</f>
        <v>0.3489381877771926</v>
      </c>
      <c r="K4" s="351">
        <f t="shared" ref="K4:K26" si="8">I4*SIN(B4)</f>
        <v>3.5010598648715988E-2</v>
      </c>
      <c r="L4" s="216"/>
      <c r="N4" s="1043">
        <v>0.1</v>
      </c>
      <c r="O4" s="123">
        <f t="shared" si="4"/>
        <v>0.35086600964689596</v>
      </c>
      <c r="P4" s="154">
        <f t="shared" si="5"/>
        <v>0.34911314105314145</v>
      </c>
      <c r="Q4" s="284">
        <f t="shared" si="6"/>
        <v>3.5028152528288593E-2</v>
      </c>
      <c r="R4" s="356">
        <f>P3</f>
        <v>0.35</v>
      </c>
      <c r="S4" s="284">
        <f>Q3</f>
        <v>0</v>
      </c>
      <c r="T4" s="542" t="s">
        <v>97</v>
      </c>
      <c r="AB4" s="1024"/>
      <c r="AC4" s="1023"/>
      <c r="AD4" s="1023"/>
      <c r="AE4" s="1023"/>
    </row>
    <row r="5" spans="1:31" x14ac:dyDescent="0.2">
      <c r="B5" s="1043">
        <f>B4+0.1</f>
        <v>0.2</v>
      </c>
      <c r="C5" s="123">
        <f t="shared" si="0"/>
        <v>0.35214300145358685</v>
      </c>
      <c r="D5" s="154">
        <f t="shared" si="1"/>
        <v>0.34512358634536022</v>
      </c>
      <c r="E5" s="293">
        <f t="shared" si="2"/>
        <v>6.9960014442948373E-2</v>
      </c>
      <c r="F5" s="1219">
        <f>D39</f>
        <v>-1.4786939330024422</v>
      </c>
      <c r="G5" s="1219">
        <f>E39</f>
        <v>-0.72968625976723489</v>
      </c>
      <c r="H5" s="542" t="s">
        <v>128</v>
      </c>
      <c r="I5" s="349">
        <f t="shared" si="3"/>
        <v>0.35277014884622659</v>
      </c>
      <c r="J5" s="350">
        <f t="shared" si="7"/>
        <v>0.34573823254426672</v>
      </c>
      <c r="K5" s="351">
        <f t="shared" si="8"/>
        <v>7.0084609395753977E-2</v>
      </c>
      <c r="L5" s="216"/>
      <c r="N5" s="1043">
        <f>N4+0.1</f>
        <v>0.2</v>
      </c>
      <c r="O5" s="123">
        <f t="shared" si="4"/>
        <v>0.35347890253309061</v>
      </c>
      <c r="P5" s="154">
        <f t="shared" si="5"/>
        <v>0.3464328583446839</v>
      </c>
      <c r="Q5" s="284">
        <f t="shared" si="6"/>
        <v>7.0225417016421779E-2</v>
      </c>
      <c r="R5" s="356">
        <f>P87</f>
        <v>-0.85660237482860602</v>
      </c>
      <c r="S5" s="284">
        <f>Q87</f>
        <v>1.4097197163677759</v>
      </c>
      <c r="T5" s="542" t="s">
        <v>98</v>
      </c>
      <c r="AB5" s="1024"/>
      <c r="AC5" s="1023"/>
      <c r="AD5" s="1023"/>
      <c r="AE5" s="1023"/>
    </row>
    <row r="6" spans="1:31" x14ac:dyDescent="0.2">
      <c r="B6" s="1043">
        <f t="shared" ref="B6:B69" si="9">B5+0.1</f>
        <v>0.30000000000000004</v>
      </c>
      <c r="C6" s="123">
        <f t="shared" si="0"/>
        <v>0.35484305873124239</v>
      </c>
      <c r="D6" s="154">
        <f t="shared" si="1"/>
        <v>0.33899452191889629</v>
      </c>
      <c r="E6" s="293">
        <f t="shared" si="2"/>
        <v>0.10486329404859862</v>
      </c>
      <c r="F6" s="284">
        <f>D3</f>
        <v>0.35</v>
      </c>
      <c r="G6" s="284">
        <f>E3</f>
        <v>0</v>
      </c>
      <c r="H6" s="542" t="s">
        <v>97</v>
      </c>
      <c r="I6" s="349">
        <f t="shared" si="3"/>
        <v>0.35626844220466508</v>
      </c>
      <c r="J6" s="350">
        <f t="shared" si="7"/>
        <v>0.34035624276205362</v>
      </c>
      <c r="K6" s="351">
        <f t="shared" si="8"/>
        <v>0.10528452366723615</v>
      </c>
      <c r="L6" s="216"/>
      <c r="N6" s="1043">
        <f t="shared" ref="N6:N69" si="10">N5+0.1</f>
        <v>0.30000000000000004</v>
      </c>
      <c r="O6" s="123">
        <f t="shared" si="4"/>
        <v>0.35788370199054742</v>
      </c>
      <c r="P6" s="154">
        <f t="shared" si="5"/>
        <v>0.34189935937492422</v>
      </c>
      <c r="Q6" s="284">
        <f t="shared" si="6"/>
        <v>0.10576186557297185</v>
      </c>
      <c r="R6" s="356">
        <f>P59</f>
        <v>0.2714547468939057</v>
      </c>
      <c r="S6" s="284">
        <f>Q59</f>
        <v>-0.22094876805998431</v>
      </c>
      <c r="T6" s="542" t="s">
        <v>99</v>
      </c>
      <c r="AB6" s="1024"/>
      <c r="AC6" s="1023"/>
      <c r="AD6" s="1023"/>
      <c r="AE6" s="1023"/>
    </row>
    <row r="7" spans="1:31" ht="13.5" thickBot="1" x14ac:dyDescent="0.25">
      <c r="B7" s="1043">
        <f t="shared" si="9"/>
        <v>0.4</v>
      </c>
      <c r="C7" s="123">
        <f t="shared" si="0"/>
        <v>0.3586632888683422</v>
      </c>
      <c r="D7" s="154">
        <f t="shared" si="1"/>
        <v>0.3303507653574192</v>
      </c>
      <c r="E7" s="293">
        <f t="shared" si="2"/>
        <v>0.1396700633980785</v>
      </c>
      <c r="F7" s="284">
        <f>D110</f>
        <v>-0.48059292919518859</v>
      </c>
      <c r="G7" s="284">
        <f>E110</f>
        <v>-1.5783348495457219</v>
      </c>
      <c r="H7" s="542" t="s">
        <v>98</v>
      </c>
      <c r="I7" s="349">
        <f t="shared" si="3"/>
        <v>0.36123333969675259</v>
      </c>
      <c r="J7" s="350">
        <f t="shared" si="7"/>
        <v>0.33271793892807278</v>
      </c>
      <c r="K7" s="351">
        <f t="shared" si="8"/>
        <v>0.14067088833132704</v>
      </c>
      <c r="L7" s="216"/>
      <c r="N7" s="1043">
        <f t="shared" si="10"/>
        <v>0.4</v>
      </c>
      <c r="O7" s="123">
        <f t="shared" si="4"/>
        <v>0.36415689715442368</v>
      </c>
      <c r="P7" s="154">
        <f t="shared" si="5"/>
        <v>0.33541071366605985</v>
      </c>
      <c r="Q7" s="284">
        <f t="shared" si="6"/>
        <v>0.1418093752301374</v>
      </c>
      <c r="R7" s="1118">
        <v>0</v>
      </c>
      <c r="S7" s="1071">
        <v>0</v>
      </c>
      <c r="T7" s="1224" t="s">
        <v>106</v>
      </c>
      <c r="AB7" s="1024"/>
      <c r="AC7" s="1023"/>
      <c r="AD7" s="1023"/>
      <c r="AE7" s="1023"/>
    </row>
    <row r="8" spans="1:31" x14ac:dyDescent="0.2">
      <c r="B8" s="1043">
        <f t="shared" si="9"/>
        <v>0.5</v>
      </c>
      <c r="C8" s="123">
        <f t="shared" si="0"/>
        <v>0.36364470274230221</v>
      </c>
      <c r="D8" s="154">
        <f t="shared" si="1"/>
        <v>0.31912824985045263</v>
      </c>
      <c r="E8" s="293">
        <f t="shared" si="2"/>
        <v>0.17434055747279353</v>
      </c>
      <c r="F8" s="284">
        <f>D74</f>
        <v>0.23964976573429964</v>
      </c>
      <c r="G8" s="284">
        <f>E74</f>
        <v>0.25520138838966383</v>
      </c>
      <c r="H8" s="542" t="s">
        <v>99</v>
      </c>
      <c r="I8" s="349">
        <f t="shared" si="3"/>
        <v>0.36773399058904949</v>
      </c>
      <c r="J8" s="350">
        <f t="shared" si="7"/>
        <v>0.32271693755530828</v>
      </c>
      <c r="K8" s="351">
        <f t="shared" si="8"/>
        <v>0.17630106650122798</v>
      </c>
      <c r="L8" s="216"/>
      <c r="N8" s="1043">
        <f t="shared" si="10"/>
        <v>0.5</v>
      </c>
      <c r="O8" s="123">
        <f t="shared" si="4"/>
        <v>0.3724086591159389</v>
      </c>
      <c r="P8" s="154">
        <f t="shared" si="5"/>
        <v>0.32681934513712418</v>
      </c>
      <c r="Q8" s="293">
        <f t="shared" si="6"/>
        <v>0.17854222197752803</v>
      </c>
      <c r="AB8" s="1024"/>
      <c r="AC8" s="1023"/>
      <c r="AD8" s="1023"/>
      <c r="AE8" s="1023"/>
    </row>
    <row r="9" spans="1:31" x14ac:dyDescent="0.2">
      <c r="B9" s="1043">
        <f t="shared" si="9"/>
        <v>0.6</v>
      </c>
      <c r="C9" s="123">
        <f t="shared" si="0"/>
        <v>0.36984127448454995</v>
      </c>
      <c r="D9" s="154">
        <f t="shared" si="1"/>
        <v>0.30524317569568515</v>
      </c>
      <c r="E9" s="293">
        <f t="shared" si="2"/>
        <v>0.20882809198852847</v>
      </c>
      <c r="F9" s="1226">
        <v>0</v>
      </c>
      <c r="G9" s="1214">
        <v>0</v>
      </c>
      <c r="H9" s="1220" t="s">
        <v>106</v>
      </c>
      <c r="I9" s="349">
        <f t="shared" si="3"/>
        <v>0.37586200541549258</v>
      </c>
      <c r="J9" s="350">
        <f t="shared" si="7"/>
        <v>0.31021229936078043</v>
      </c>
      <c r="K9" s="351">
        <f t="shared" si="8"/>
        <v>0.21222765239302191</v>
      </c>
      <c r="L9" s="216"/>
      <c r="N9" s="1043">
        <f t="shared" si="10"/>
        <v>0.6</v>
      </c>
      <c r="O9" s="123">
        <f t="shared" si="4"/>
        <v>0.38278602112974719</v>
      </c>
      <c r="P9" s="154">
        <f t="shared" si="5"/>
        <v>0.31592693612794903</v>
      </c>
      <c r="Q9" s="293">
        <f t="shared" si="6"/>
        <v>0.21613724575174473</v>
      </c>
      <c r="AB9" s="1024"/>
      <c r="AC9" s="1023"/>
      <c r="AD9" s="1023"/>
      <c r="AE9" s="1023"/>
    </row>
    <row r="10" spans="1:31" ht="13.5" thickBot="1" x14ac:dyDescent="0.25">
      <c r="B10" s="1043">
        <f t="shared" si="9"/>
        <v>0.7</v>
      </c>
      <c r="C10" s="123">
        <f t="shared" si="0"/>
        <v>0.37732090281933423</v>
      </c>
      <c r="D10" s="154">
        <f t="shared" si="1"/>
        <v>0.2885909446204975</v>
      </c>
      <c r="E10" s="293">
        <f t="shared" si="2"/>
        <v>0.24307679936070906</v>
      </c>
      <c r="F10" s="565"/>
      <c r="G10" s="565"/>
      <c r="H10" s="11"/>
      <c r="I10" s="349">
        <f t="shared" si="3"/>
        <v>0.38573355677344318</v>
      </c>
      <c r="J10" s="350">
        <f t="shared" si="7"/>
        <v>0.29502529727162569</v>
      </c>
      <c r="K10" s="351">
        <f t="shared" si="8"/>
        <v>0.24849637983455614</v>
      </c>
      <c r="L10" s="216"/>
      <c r="N10" s="1043">
        <f t="shared" si="10"/>
        <v>0.7</v>
      </c>
      <c r="O10" s="123">
        <f t="shared" si="4"/>
        <v>0.39547708943122156</v>
      </c>
      <c r="P10" s="154">
        <f t="shared" si="5"/>
        <v>0.30247756210147875</v>
      </c>
      <c r="Q10" s="293">
        <f t="shared" si="6"/>
        <v>0.25477333590887508</v>
      </c>
      <c r="AB10" s="1024"/>
      <c r="AC10" s="1023"/>
      <c r="AD10" s="1023"/>
      <c r="AE10" s="1023"/>
    </row>
    <row r="11" spans="1:31" ht="13.5" thickBot="1" x14ac:dyDescent="0.25">
      <c r="B11" s="1043">
        <f t="shared" si="9"/>
        <v>0.79999999999999993</v>
      </c>
      <c r="C11" s="123">
        <f t="shared" si="0"/>
        <v>0.38616661370610855</v>
      </c>
      <c r="D11" s="154">
        <f t="shared" si="1"/>
        <v>0.26904487069492089</v>
      </c>
      <c r="E11" s="293">
        <f t="shared" si="2"/>
        <v>0.27701897244412005</v>
      </c>
      <c r="F11" s="1216" t="s">
        <v>216</v>
      </c>
      <c r="G11" s="1217">
        <v>0.88</v>
      </c>
      <c r="H11" s="1218">
        <v>1.1200000000000001</v>
      </c>
      <c r="I11" s="353">
        <f t="shared" si="3"/>
        <v>0.39749201847894944</v>
      </c>
      <c r="J11" s="350">
        <f t="shared" si="7"/>
        <v>0.27693535618623155</v>
      </c>
      <c r="K11" s="351">
        <f t="shared" si="8"/>
        <v>0.28514332053982</v>
      </c>
      <c r="L11" s="216"/>
      <c r="N11" s="1043">
        <f t="shared" si="10"/>
        <v>0.79999999999999993</v>
      </c>
      <c r="O11" s="123">
        <f t="shared" si="4"/>
        <v>0.41071634938646401</v>
      </c>
      <c r="P11" s="154">
        <f t="shared" si="5"/>
        <v>0.28614883625612403</v>
      </c>
      <c r="Q11" s="293">
        <f t="shared" si="6"/>
        <v>0.2946298748643964</v>
      </c>
      <c r="AB11" s="1024"/>
      <c r="AC11" s="1023"/>
      <c r="AD11" s="1023"/>
      <c r="AE11" s="1023"/>
    </row>
    <row r="12" spans="1:31" x14ac:dyDescent="0.2">
      <c r="B12" s="1043">
        <f t="shared" si="9"/>
        <v>0.89999999999999991</v>
      </c>
      <c r="C12" s="123">
        <f t="shared" si="0"/>
        <v>0.39647801704164454</v>
      </c>
      <c r="D12" s="154">
        <f t="shared" si="1"/>
        <v>0.24645468759327263</v>
      </c>
      <c r="E12" s="293">
        <f t="shared" si="2"/>
        <v>0.31057189982446409</v>
      </c>
      <c r="F12" s="1075" t="s">
        <v>85</v>
      </c>
      <c r="G12" s="1076">
        <v>1</v>
      </c>
      <c r="I12" s="353">
        <f t="shared" si="3"/>
        <v>0.41131116988141736</v>
      </c>
      <c r="J12" s="350">
        <f t="shared" si="7"/>
        <v>0.25567512325935776</v>
      </c>
      <c r="K12" s="351">
        <f t="shared" si="8"/>
        <v>0.32219110759847547</v>
      </c>
      <c r="L12" s="216"/>
      <c r="N12" s="1043">
        <f t="shared" si="10"/>
        <v>0.89999999999999991</v>
      </c>
      <c r="O12" s="123">
        <f t="shared" si="4"/>
        <v>0.42879110385806563</v>
      </c>
      <c r="P12" s="154">
        <f t="shared" si="5"/>
        <v>0.26654082446395538</v>
      </c>
      <c r="Q12" s="293">
        <f t="shared" si="6"/>
        <v>0.3358836102608958</v>
      </c>
      <c r="AB12" s="1024"/>
      <c r="AC12" s="1023"/>
      <c r="AD12" s="1023"/>
      <c r="AE12" s="1023"/>
    </row>
    <row r="13" spans="1:31" ht="13.5" thickBot="1" x14ac:dyDescent="0.25">
      <c r="B13" s="1043">
        <f t="shared" si="9"/>
        <v>0.99999999999999989</v>
      </c>
      <c r="C13" s="123">
        <f t="shared" si="0"/>
        <v>0.40837302776485818</v>
      </c>
      <c r="D13" s="154">
        <f t="shared" si="1"/>
        <v>0.22064488855570674</v>
      </c>
      <c r="E13" s="293">
        <f t="shared" si="2"/>
        <v>0.34363405384227763</v>
      </c>
      <c r="F13" s="1077" t="s">
        <v>86</v>
      </c>
      <c r="G13" s="1078">
        <v>0.65</v>
      </c>
      <c r="I13" s="353">
        <f t="shared" si="3"/>
        <v>0.42739897602367294</v>
      </c>
      <c r="J13" s="350">
        <f t="shared" si="7"/>
        <v>0.23092465227127226</v>
      </c>
      <c r="K13" s="351">
        <f t="shared" si="8"/>
        <v>0.35964383726052657</v>
      </c>
      <c r="L13" s="216"/>
      <c r="N13" s="1043">
        <f t="shared" si="10"/>
        <v>0.99999999999999989</v>
      </c>
      <c r="O13" s="123">
        <f t="shared" si="4"/>
        <v>0.45004900621741545</v>
      </c>
      <c r="P13" s="154">
        <f t="shared" si="5"/>
        <v>0.24316251581293433</v>
      </c>
      <c r="Q13" s="293">
        <f t="shared" si="6"/>
        <v>0.37870318047358364</v>
      </c>
      <c r="AB13" s="740"/>
      <c r="AC13" s="1023"/>
      <c r="AD13" s="1023"/>
      <c r="AE13" s="1023"/>
    </row>
    <row r="14" spans="1:31" x14ac:dyDescent="0.2">
      <c r="B14" s="1043">
        <f t="shared" si="9"/>
        <v>1.0999999999999999</v>
      </c>
      <c r="C14" s="123">
        <f t="shared" si="0"/>
        <v>0.42198985523621246</v>
      </c>
      <c r="D14" s="154">
        <f t="shared" si="1"/>
        <v>0.1914129616160869</v>
      </c>
      <c r="E14" s="293">
        <f t="shared" si="2"/>
        <v>0.37608046485777213</v>
      </c>
      <c r="I14" s="353">
        <f t="shared" si="3"/>
        <v>0.44600191869540806</v>
      </c>
      <c r="J14" s="350">
        <f t="shared" si="7"/>
        <v>0.20230474046860286</v>
      </c>
      <c r="K14" s="351">
        <f t="shared" si="8"/>
        <v>0.39748019254286954</v>
      </c>
      <c r="L14" s="216"/>
      <c r="N14" s="1043">
        <f t="shared" si="10"/>
        <v>1.0999999999999999</v>
      </c>
      <c r="O14" s="123">
        <f t="shared" si="4"/>
        <v>0.47490649447960548</v>
      </c>
      <c r="P14" s="154">
        <f t="shared" si="5"/>
        <v>0.21541574393576646</v>
      </c>
      <c r="Q14" s="293">
        <f t="shared" si="6"/>
        <v>0.42324016322119978</v>
      </c>
      <c r="T14" s="734"/>
      <c r="AB14" s="1024"/>
      <c r="AC14" s="1023"/>
      <c r="AD14" s="1023"/>
      <c r="AE14" s="1023"/>
    </row>
    <row r="15" spans="1:31" ht="13.5" thickBot="1" x14ac:dyDescent="0.25">
      <c r="B15" s="1043">
        <f t="shared" si="9"/>
        <v>1.2</v>
      </c>
      <c r="C15" s="123">
        <f t="shared" si="0"/>
        <v>0.437489251921927</v>
      </c>
      <c r="D15" s="154">
        <f t="shared" si="1"/>
        <v>0.15852762293410924</v>
      </c>
      <c r="E15" s="293">
        <f t="shared" si="2"/>
        <v>0.40775708248179843</v>
      </c>
      <c r="I15" s="353">
        <f t="shared" si="3"/>
        <v>0.46740978574990644</v>
      </c>
      <c r="J15" s="350">
        <f t="shared" si="7"/>
        <v>0.16936956038475923</v>
      </c>
      <c r="K15" s="351">
        <f t="shared" si="8"/>
        <v>0.43564418948247985</v>
      </c>
      <c r="L15" s="216"/>
      <c r="N15" s="1043">
        <f t="shared" si="10"/>
        <v>1.2</v>
      </c>
      <c r="O15" s="123">
        <f t="shared" si="4"/>
        <v>0.50385763767961045</v>
      </c>
      <c r="P15" s="154">
        <f t="shared" si="5"/>
        <v>0.18257672216550505</v>
      </c>
      <c r="Q15" s="293">
        <f t="shared" si="6"/>
        <v>0.46961501208050999</v>
      </c>
      <c r="AB15" s="1024"/>
      <c r="AC15" s="1023"/>
      <c r="AD15" s="1023"/>
      <c r="AE15" s="1023"/>
    </row>
    <row r="16" spans="1:31" x14ac:dyDescent="0.2">
      <c r="B16" s="1043">
        <f t="shared" si="9"/>
        <v>1.3</v>
      </c>
      <c r="C16" s="123">
        <f t="shared" si="0"/>
        <v>0.45505698971499836</v>
      </c>
      <c r="D16" s="154">
        <f t="shared" si="1"/>
        <v>0.12172721170619295</v>
      </c>
      <c r="E16" s="293">
        <f t="shared" si="2"/>
        <v>0.43847388727119407</v>
      </c>
      <c r="F16" s="1501" t="s">
        <v>178</v>
      </c>
      <c r="G16" s="1501"/>
      <c r="H16" s="1502"/>
      <c r="I16" s="353">
        <f t="shared" si="3"/>
        <v>0.49196070669870234</v>
      </c>
      <c r="J16" s="350">
        <f t="shared" si="7"/>
        <v>0.13159891277122707</v>
      </c>
      <c r="K16" s="351">
        <f t="shared" si="8"/>
        <v>0.47403276584316151</v>
      </c>
      <c r="L16" s="216"/>
      <c r="N16" s="1043">
        <f t="shared" si="10"/>
        <v>1.3</v>
      </c>
      <c r="O16" s="123">
        <f t="shared" si="4"/>
        <v>0.53748237698448154</v>
      </c>
      <c r="P16" s="154">
        <f t="shared" si="5"/>
        <v>0.14377590624970768</v>
      </c>
      <c r="Q16" s="293">
        <f t="shared" si="6"/>
        <v>0.51789554386088665</v>
      </c>
      <c r="AB16" s="1024"/>
      <c r="AC16" s="1023"/>
      <c r="AD16" s="1023"/>
      <c r="AE16" s="1023"/>
    </row>
    <row r="17" spans="2:31" ht="14.25" x14ac:dyDescent="0.2">
      <c r="B17" s="1043">
        <f t="shared" si="9"/>
        <v>1.4000000000000001</v>
      </c>
      <c r="C17" s="123">
        <f t="shared" si="0"/>
        <v>0.47490649447960553</v>
      </c>
      <c r="D17" s="154">
        <f t="shared" si="1"/>
        <v>8.0718500011467534E-2</v>
      </c>
      <c r="E17" s="293">
        <f t="shared" si="2"/>
        <v>0.46799647675469347</v>
      </c>
      <c r="F17" s="1497" t="s">
        <v>179</v>
      </c>
      <c r="G17" s="1497"/>
      <c r="H17" s="1498"/>
      <c r="I17" s="353">
        <f t="shared" si="3"/>
        <v>0.52004602132607047</v>
      </c>
      <c r="J17" s="350">
        <f t="shared" si="7"/>
        <v>8.8390736421429902E-2</v>
      </c>
      <c r="K17" s="351">
        <f t="shared" si="8"/>
        <v>0.51247921129734919</v>
      </c>
      <c r="L17" s="216"/>
      <c r="N17" s="1043">
        <f t="shared" si="10"/>
        <v>1.4000000000000001</v>
      </c>
      <c r="O17" s="123">
        <f t="shared" si="4"/>
        <v>0.57645223462621042</v>
      </c>
      <c r="P17" s="154">
        <f t="shared" si="5"/>
        <v>9.7977939337876255E-2</v>
      </c>
      <c r="Q17" s="293">
        <f t="shared" si="6"/>
        <v>0.56806469896364364</v>
      </c>
      <c r="AB17" s="1024"/>
      <c r="AC17" s="1023"/>
      <c r="AD17" s="1023"/>
      <c r="AE17" s="1023"/>
    </row>
    <row r="18" spans="2:31" x14ac:dyDescent="0.2">
      <c r="B18" s="1043">
        <f t="shared" si="9"/>
        <v>1.5000000000000002</v>
      </c>
      <c r="C18" s="123">
        <f t="shared" si="0"/>
        <v>0.49728150899019075</v>
      </c>
      <c r="D18" s="154">
        <f t="shared" si="1"/>
        <v>3.5176302387058628E-2</v>
      </c>
      <c r="E18" s="293">
        <f t="shared" si="2"/>
        <v>0.49603581214861431</v>
      </c>
      <c r="F18" s="1494" t="s">
        <v>177</v>
      </c>
      <c r="G18" s="1495"/>
      <c r="H18" s="1072"/>
      <c r="I18" s="353">
        <f t="shared" si="3"/>
        <v>0.55211423940723603</v>
      </c>
      <c r="J18" s="350">
        <f t="shared" si="7"/>
        <v>3.9055016296559934E-2</v>
      </c>
      <c r="K18" s="351">
        <f t="shared" si="8"/>
        <v>0.55073118584142866</v>
      </c>
      <c r="L18" s="216"/>
      <c r="N18" s="1043">
        <f t="shared" si="10"/>
        <v>1.5000000000000002</v>
      </c>
      <c r="O18" s="349">
        <f t="shared" si="4"/>
        <v>0.62153005217383783</v>
      </c>
      <c r="P18" s="350">
        <f t="shared" si="5"/>
        <v>4.3965296643158541E-2</v>
      </c>
      <c r="Q18" s="351">
        <f t="shared" si="6"/>
        <v>0.61997311106715958</v>
      </c>
      <c r="AB18" s="1024"/>
      <c r="AC18" s="1023"/>
      <c r="AD18" s="1023"/>
      <c r="AE18" s="1023"/>
    </row>
    <row r="19" spans="2:31" x14ac:dyDescent="0.2">
      <c r="B19" s="1043">
        <f t="shared" si="9"/>
        <v>1.6000000000000003</v>
      </c>
      <c r="C19" s="123">
        <f t="shared" si="0"/>
        <v>0.52245856034425098</v>
      </c>
      <c r="D19" s="154">
        <f t="shared" si="1"/>
        <v>-1.5255540384271321E-2</v>
      </c>
      <c r="E19" s="293">
        <f t="shared" si="2"/>
        <v>0.52223578560318062</v>
      </c>
      <c r="F19" s="1073"/>
      <c r="G19" s="1073"/>
      <c r="H19" s="1072"/>
      <c r="I19" s="353">
        <f t="shared" si="3"/>
        <v>0.58867282748021121</v>
      </c>
      <c r="J19" s="350">
        <f t="shared" si="7"/>
        <v>-1.71889653541713E-2</v>
      </c>
      <c r="K19" s="351">
        <f t="shared" si="8"/>
        <v>0.58842181917702507</v>
      </c>
      <c r="L19" s="216"/>
      <c r="N19" s="1043">
        <f t="shared" si="10"/>
        <v>1.6000000000000003</v>
      </c>
      <c r="O19" s="123">
        <f t="shared" si="4"/>
        <v>0.67355789845307301</v>
      </c>
      <c r="P19" s="154">
        <f t="shared" si="5"/>
        <v>-1.9667568877089883E-2</v>
      </c>
      <c r="Q19" s="293">
        <f t="shared" si="6"/>
        <v>0.67327069541380247</v>
      </c>
      <c r="AB19" s="1024"/>
      <c r="AC19" s="1023"/>
      <c r="AD19" s="1023"/>
      <c r="AE19" s="1023"/>
    </row>
    <row r="20" spans="2:31" x14ac:dyDescent="0.2">
      <c r="B20" s="1043">
        <f t="shared" si="9"/>
        <v>1.7000000000000004</v>
      </c>
      <c r="C20" s="123">
        <f t="shared" si="0"/>
        <v>0.5507488646132217</v>
      </c>
      <c r="D20" s="154">
        <f t="shared" si="1"/>
        <v>-7.0960958944925157E-2</v>
      </c>
      <c r="E20" s="293">
        <f t="shared" si="2"/>
        <v>0.54615826843358273</v>
      </c>
      <c r="F20" s="1073"/>
      <c r="G20" s="1073"/>
      <c r="H20" s="1072"/>
      <c r="I20" s="353">
        <f t="shared" si="3"/>
        <v>0.63028575182076363</v>
      </c>
      <c r="J20" s="350">
        <f t="shared" si="7"/>
        <v>-8.1208848955021118E-2</v>
      </c>
      <c r="K20" s="351">
        <f t="shared" si="8"/>
        <v>0.62503220061022924</v>
      </c>
      <c r="L20" s="216"/>
      <c r="N20" s="1043">
        <f t="shared" si="10"/>
        <v>1.7000000000000004</v>
      </c>
      <c r="O20" s="123">
        <f t="shared" si="4"/>
        <v>0.73342358962748766</v>
      </c>
      <c r="P20" s="154">
        <f t="shared" si="5"/>
        <v>-9.4497591509962356E-2</v>
      </c>
      <c r="Q20" s="293">
        <f t="shared" si="6"/>
        <v>0.72731036498931168</v>
      </c>
      <c r="AB20" s="1024"/>
      <c r="AC20" s="1023"/>
      <c r="AD20" s="1023"/>
      <c r="AE20" s="1023"/>
    </row>
    <row r="21" spans="2:31" x14ac:dyDescent="0.2">
      <c r="B21" s="1043">
        <f t="shared" si="9"/>
        <v>1.8000000000000005</v>
      </c>
      <c r="C21" s="349">
        <f t="shared" si="0"/>
        <v>0.58249908768013203</v>
      </c>
      <c r="D21" s="350">
        <f t="shared" si="1"/>
        <v>-0.13234501287773845</v>
      </c>
      <c r="E21" s="351">
        <f t="shared" si="2"/>
        <v>0.56726535652600663</v>
      </c>
      <c r="F21" s="1496" t="s">
        <v>180</v>
      </c>
      <c r="G21" s="1496"/>
      <c r="H21" s="1072"/>
      <c r="I21" s="353">
        <f t="shared" si="3"/>
        <v>0.67756350025451373</v>
      </c>
      <c r="J21" s="350">
        <f t="shared" si="7"/>
        <v>-0.15394384654540585</v>
      </c>
      <c r="K21" s="351">
        <f t="shared" si="8"/>
        <v>0.65984360949239551</v>
      </c>
      <c r="L21" s="983"/>
      <c r="N21" s="1043">
        <f t="shared" si="10"/>
        <v>1.8000000000000005</v>
      </c>
      <c r="O21" s="349">
        <f t="shared" si="4"/>
        <v>0.80199100505012477</v>
      </c>
      <c r="P21" s="350">
        <f t="shared" si="5"/>
        <v>-0.18221403627240287</v>
      </c>
      <c r="Q21" s="351">
        <f t="shared" si="6"/>
        <v>0.78101704025368657</v>
      </c>
      <c r="AB21" s="1024"/>
      <c r="AC21" s="1023"/>
      <c r="AD21" s="1023"/>
      <c r="AE21" s="1023"/>
    </row>
    <row r="22" spans="2:31" ht="14.25" x14ac:dyDescent="0.2">
      <c r="B22" s="1043">
        <f t="shared" si="9"/>
        <v>1.9000000000000006</v>
      </c>
      <c r="C22" s="123">
        <f t="shared" si="0"/>
        <v>0.61809006911495512</v>
      </c>
      <c r="D22" s="154">
        <f t="shared" si="1"/>
        <v>-0.19982207072680708</v>
      </c>
      <c r="E22" s="293">
        <f t="shared" si="2"/>
        <v>0.58489868660220201</v>
      </c>
      <c r="F22" s="1497" t="s">
        <v>217</v>
      </c>
      <c r="G22" s="1497"/>
      <c r="H22" s="1498"/>
      <c r="I22" s="353">
        <f t="shared" si="3"/>
        <v>0.73114057864019888</v>
      </c>
      <c r="J22" s="350">
        <f t="shared" si="7"/>
        <v>-0.23637012098492155</v>
      </c>
      <c r="K22" s="351">
        <f t="shared" si="8"/>
        <v>0.69187839367904702</v>
      </c>
      <c r="L22" s="216"/>
      <c r="N22" s="1043">
        <f t="shared" si="10"/>
        <v>1.9000000000000006</v>
      </c>
      <c r="O22" s="123">
        <f t="shared" si="4"/>
        <v>0.87997277861417433</v>
      </c>
      <c r="P22" s="154">
        <f t="shared" si="5"/>
        <v>-0.2844860184498505</v>
      </c>
      <c r="Q22" s="293">
        <f t="shared" si="6"/>
        <v>0.83271831756513071</v>
      </c>
      <c r="AB22" s="1024"/>
      <c r="AC22" s="1023"/>
      <c r="AD22" s="1023"/>
      <c r="AE22" s="1023"/>
    </row>
    <row r="23" spans="2:31" ht="13.5" thickBot="1" x14ac:dyDescent="0.25">
      <c r="B23" s="1043">
        <f t="shared" si="9"/>
        <v>2.0000000000000004</v>
      </c>
      <c r="C23" s="123">
        <f t="shared" si="0"/>
        <v>0.65793217202870569</v>
      </c>
      <c r="D23" s="154">
        <f t="shared" si="1"/>
        <v>-0.27379639205233641</v>
      </c>
      <c r="E23" s="293">
        <f t="shared" si="2"/>
        <v>0.59825603105153369</v>
      </c>
      <c r="F23" s="1499" t="s">
        <v>226</v>
      </c>
      <c r="G23" s="1500"/>
      <c r="H23" s="1074"/>
      <c r="I23" s="353">
        <f t="shared" si="3"/>
        <v>0.79163316398336336</v>
      </c>
      <c r="J23" s="350">
        <f t="shared" si="7"/>
        <v>-0.32943563689748218</v>
      </c>
      <c r="K23" s="351">
        <f t="shared" si="8"/>
        <v>0.71982999899994504</v>
      </c>
      <c r="L23" s="216"/>
      <c r="N23" s="1043">
        <f t="shared" si="10"/>
        <v>2.0000000000000004</v>
      </c>
      <c r="O23" s="123">
        <f t="shared" si="4"/>
        <v>0.96771768831094551</v>
      </c>
      <c r="P23" s="154">
        <f t="shared" si="5"/>
        <v>-0.4027126546613139</v>
      </c>
      <c r="Q23" s="293">
        <f t="shared" si="6"/>
        <v>0.8799432038748396</v>
      </c>
      <c r="AB23" s="740"/>
      <c r="AC23" s="1023"/>
      <c r="AD23" s="1023"/>
      <c r="AE23" s="1023"/>
    </row>
    <row r="24" spans="2:31" x14ac:dyDescent="0.2">
      <c r="B24" s="1043">
        <f t="shared" si="9"/>
        <v>2.1000000000000005</v>
      </c>
      <c r="C24" s="123">
        <f t="shared" si="0"/>
        <v>0.70245531141046669</v>
      </c>
      <c r="D24" s="154">
        <f t="shared" si="1"/>
        <v>-0.35463182762105422</v>
      </c>
      <c r="E24" s="293">
        <f t="shared" si="2"/>
        <v>0.60636600446176614</v>
      </c>
      <c r="I24" s="353">
        <f t="shared" si="3"/>
        <v>0.85956682665057138</v>
      </c>
      <c r="J24" s="350">
        <f t="shared" si="7"/>
        <v>-0.43394896407780231</v>
      </c>
      <c r="K24" s="351">
        <f t="shared" si="8"/>
        <v>0.74198613602542174</v>
      </c>
      <c r="L24" s="216"/>
      <c r="N24" s="1043">
        <f t="shared" si="10"/>
        <v>2.1000000000000005</v>
      </c>
      <c r="O24" s="123">
        <f t="shared" si="4"/>
        <v>1.0648841787542831</v>
      </c>
      <c r="P24" s="154">
        <f t="shared" si="5"/>
        <v>-0.53760262949411863</v>
      </c>
      <c r="Q24" s="293">
        <f t="shared" si="6"/>
        <v>0.91921799749689048</v>
      </c>
      <c r="AB24" s="1024"/>
      <c r="AC24" s="1023"/>
      <c r="AD24" s="1023"/>
      <c r="AE24" s="1023"/>
    </row>
    <row r="25" spans="2:31" x14ac:dyDescent="0.2">
      <c r="B25" s="1043">
        <f t="shared" si="9"/>
        <v>2.2000000000000006</v>
      </c>
      <c r="C25" s="123">
        <f t="shared" si="0"/>
        <v>0.75209091332783351</v>
      </c>
      <c r="D25" s="154">
        <f t="shared" si="1"/>
        <v>-0.44260634277102379</v>
      </c>
      <c r="E25" s="293">
        <f t="shared" si="2"/>
        <v>0.60806279877094427</v>
      </c>
      <c r="I25" s="353">
        <f t="shared" si="3"/>
        <v>0.93526163683054619</v>
      </c>
      <c r="J25" s="350">
        <f t="shared" si="7"/>
        <v>-0.5504025182008403</v>
      </c>
      <c r="K25" s="351">
        <f t="shared" si="8"/>
        <v>0.75615567000791983</v>
      </c>
      <c r="L25" s="216"/>
      <c r="N25" s="1043">
        <f t="shared" si="10"/>
        <v>2.2000000000000006</v>
      </c>
      <c r="O25" s="123">
        <f t="shared" si="4"/>
        <v>1.1699868800313264</v>
      </c>
      <c r="P25" s="154">
        <f t="shared" si="5"/>
        <v>-0.68853858607253238</v>
      </c>
      <c r="Q25" s="293">
        <f t="shared" si="6"/>
        <v>0.94593018502142934</v>
      </c>
      <c r="AB25" s="1024"/>
      <c r="AC25" s="1023"/>
      <c r="AD25" s="1023"/>
      <c r="AE25" s="1023"/>
    </row>
    <row r="26" spans="2:31" x14ac:dyDescent="0.2">
      <c r="B26" s="1043">
        <f t="shared" si="9"/>
        <v>2.3000000000000007</v>
      </c>
      <c r="C26" s="123">
        <f t="shared" si="0"/>
        <v>0.80724208444145706</v>
      </c>
      <c r="D26" s="154">
        <f t="shared" si="1"/>
        <v>-0.53784604423128635</v>
      </c>
      <c r="E26" s="293">
        <f t="shared" si="2"/>
        <v>0.60196462985639421</v>
      </c>
      <c r="I26" s="353">
        <f t="shared" si="3"/>
        <v>1.0186611918670894</v>
      </c>
      <c r="J26" s="350">
        <f t="shared" si="7"/>
        <v>-0.67870952594936851</v>
      </c>
      <c r="K26" s="351">
        <f t="shared" si="8"/>
        <v>0.75962096021743808</v>
      </c>
      <c r="L26" s="216"/>
      <c r="N26" s="1043">
        <f t="shared" si="10"/>
        <v>2.3000000000000007</v>
      </c>
      <c r="O26" s="123">
        <f t="shared" si="4"/>
        <v>1.2798528117426047</v>
      </c>
      <c r="P26" s="154">
        <f t="shared" si="5"/>
        <v>-0.85273523923165928</v>
      </c>
      <c r="Q26" s="293">
        <f t="shared" si="6"/>
        <v>0.9543929125354903</v>
      </c>
      <c r="AB26" s="1024"/>
      <c r="AC26" s="1023"/>
      <c r="AD26" s="1023"/>
      <c r="AE26" s="1023"/>
    </row>
    <row r="27" spans="2:31" x14ac:dyDescent="0.2">
      <c r="B27" s="1043">
        <f t="shared" si="9"/>
        <v>2.4000000000000008</v>
      </c>
      <c r="C27" s="123">
        <f t="shared" si="0"/>
        <v>0.86823723824855026</v>
      </c>
      <c r="D27" s="154">
        <f t="shared" si="1"/>
        <v>-0.64023268308336845</v>
      </c>
      <c r="E27" s="293">
        <f t="shared" si="2"/>
        <v>0.58646228642031262</v>
      </c>
      <c r="I27" s="353">
        <f t="shared" si="3"/>
        <v>1.1090965247145395</v>
      </c>
      <c r="J27" s="350">
        <f t="shared" ref="J27:J35" si="11">I27*COS(B27)</f>
        <v>-0.81784080725313757</v>
      </c>
      <c r="K27" s="351">
        <f t="shared" ref="K27:K35" si="12">I27*SIN(B27)</f>
        <v>0.74915386612191026</v>
      </c>
      <c r="L27" s="216"/>
      <c r="N27" s="1043">
        <f t="shared" si="10"/>
        <v>2.4000000000000008</v>
      </c>
      <c r="O27" s="123">
        <f t="shared" si="4"/>
        <v>1.3891264207594241</v>
      </c>
      <c r="P27" s="154">
        <f t="shared" si="5"/>
        <v>-1.024333092760304</v>
      </c>
      <c r="Q27" s="293">
        <f t="shared" si="6"/>
        <v>0.93830375035379598</v>
      </c>
      <c r="AB27" s="1024"/>
      <c r="AC27" s="1023"/>
      <c r="AD27" s="1023"/>
      <c r="AE27" s="1023"/>
    </row>
    <row r="28" spans="2:31" x14ac:dyDescent="0.2">
      <c r="B28" s="1043">
        <f t="shared" si="9"/>
        <v>2.5000000000000009</v>
      </c>
      <c r="C28" s="123">
        <f t="shared" si="0"/>
        <v>0.93526163683054619</v>
      </c>
      <c r="D28" s="154">
        <f t="shared" si="1"/>
        <v>-0.74927888921276753</v>
      </c>
      <c r="E28" s="293">
        <f t="shared" si="2"/>
        <v>0.55972803709215224</v>
      </c>
      <c r="I28" s="353">
        <f t="shared" si="3"/>
        <v>1.204991104718391</v>
      </c>
      <c r="J28" s="350">
        <f t="shared" si="11"/>
        <v>-0.9653709303359862</v>
      </c>
      <c r="K28" s="351">
        <f t="shared" si="12"/>
        <v>0.72115361006700973</v>
      </c>
      <c r="L28" s="216"/>
      <c r="N28" s="1043">
        <f t="shared" si="10"/>
        <v>2.5000000000000009</v>
      </c>
      <c r="O28" s="123">
        <f t="shared" si="4"/>
        <v>1.4901092409730663</v>
      </c>
      <c r="P28" s="154">
        <f t="shared" si="5"/>
        <v>-1.1937915048730603</v>
      </c>
      <c r="Q28" s="293">
        <f t="shared" si="6"/>
        <v>0.89178887239426907</v>
      </c>
      <c r="AB28" s="1024"/>
      <c r="AC28" s="1023"/>
      <c r="AD28" s="1023"/>
      <c r="AE28" s="1023"/>
    </row>
    <row r="29" spans="2:31" x14ac:dyDescent="0.2">
      <c r="B29" s="1043">
        <f t="shared" si="9"/>
        <v>2.600000000000001</v>
      </c>
      <c r="C29" s="123">
        <f t="shared" si="0"/>
        <v>1.0082614083994179</v>
      </c>
      <c r="D29" s="154">
        <f t="shared" si="1"/>
        <v>-0.86396786131339676</v>
      </c>
      <c r="E29" s="293">
        <f t="shared" si="2"/>
        <v>0.51976013918454067</v>
      </c>
      <c r="I29" s="353">
        <f t="shared" si="3"/>
        <v>1.3035460891250847</v>
      </c>
      <c r="J29" s="350">
        <f t="shared" si="11"/>
        <v>-1.1169939832693612</v>
      </c>
      <c r="K29" s="351">
        <f t="shared" si="12"/>
        <v>0.67197979717648471</v>
      </c>
      <c r="L29" s="216"/>
      <c r="N29" s="1043">
        <f t="shared" si="10"/>
        <v>2.600000000000001</v>
      </c>
      <c r="O29" s="123">
        <f t="shared" si="4"/>
        <v>1.573327125739908</v>
      </c>
      <c r="P29" s="154">
        <f t="shared" si="5"/>
        <v>-1.3481663194168194</v>
      </c>
      <c r="Q29" s="293">
        <f t="shared" si="6"/>
        <v>0.81105229164284254</v>
      </c>
      <c r="AB29" s="1024"/>
      <c r="AC29" s="1023"/>
      <c r="AD29" s="1023"/>
      <c r="AE29" s="1023"/>
    </row>
    <row r="30" spans="2:31" x14ac:dyDescent="0.2">
      <c r="B30" s="1043">
        <f t="shared" si="9"/>
        <v>2.7000000000000011</v>
      </c>
      <c r="C30" s="123">
        <f t="shared" si="0"/>
        <v>1.0868167422387744</v>
      </c>
      <c r="D30" s="154">
        <f t="shared" si="1"/>
        <v>-0.98256074013581363</v>
      </c>
      <c r="E30" s="293">
        <f t="shared" si="2"/>
        <v>0.46448360913412756</v>
      </c>
      <c r="I30" s="353">
        <f t="shared" si="3"/>
        <v>1.4004987211971764</v>
      </c>
      <c r="J30" s="350">
        <f t="shared" si="11"/>
        <v>-1.2661518787648869</v>
      </c>
      <c r="K30" s="351">
        <f t="shared" si="12"/>
        <v>0.5985449757328799</v>
      </c>
      <c r="L30" s="216"/>
      <c r="N30" s="1043">
        <f t="shared" si="10"/>
        <v>2.7000000000000011</v>
      </c>
      <c r="O30" s="123">
        <f t="shared" si="4"/>
        <v>1.6291058603426518</v>
      </c>
      <c r="P30" s="154">
        <f t="shared" si="5"/>
        <v>-1.4728292247325294</v>
      </c>
      <c r="Q30" s="293">
        <f t="shared" si="6"/>
        <v>0.69624706748147136</v>
      </c>
      <c r="AB30" s="1024"/>
      <c r="AC30" s="1023"/>
      <c r="AD30" s="1023"/>
      <c r="AE30" s="1023"/>
    </row>
    <row r="31" spans="2:31" x14ac:dyDescent="0.2">
      <c r="B31" s="1043">
        <f t="shared" si="9"/>
        <v>2.8000000000000012</v>
      </c>
      <c r="C31" s="123">
        <f t="shared" si="0"/>
        <v>1.1699868800313264</v>
      </c>
      <c r="D31" s="154">
        <f t="shared" si="1"/>
        <v>-1.1023877766547374</v>
      </c>
      <c r="E31" s="293">
        <f t="shared" si="2"/>
        <v>0.39193174064837144</v>
      </c>
      <c r="I31" s="353">
        <f t="shared" si="3"/>
        <v>1.4901092409730663</v>
      </c>
      <c r="J31" s="350">
        <f t="shared" si="11"/>
        <v>-1.4040142168816405</v>
      </c>
      <c r="K31" s="351">
        <f t="shared" si="12"/>
        <v>0.49916893816378544</v>
      </c>
      <c r="L31" s="216"/>
      <c r="M31" s="1069" t="s">
        <v>90</v>
      </c>
      <c r="N31" s="1065">
        <f t="shared" si="10"/>
        <v>2.8000000000000012</v>
      </c>
      <c r="O31" s="1066">
        <f t="shared" si="4"/>
        <v>1.6499520794983999</v>
      </c>
      <c r="P31" s="1067">
        <f t="shared" si="5"/>
        <v>-1.5546217103361029</v>
      </c>
      <c r="Q31" s="1068">
        <f t="shared" si="6"/>
        <v>0.55271439495705577</v>
      </c>
      <c r="AB31" s="1024"/>
      <c r="AC31" s="1023"/>
      <c r="AD31" s="1023"/>
      <c r="AE31" s="1023"/>
    </row>
    <row r="32" spans="2:31" x14ac:dyDescent="0.2">
      <c r="B32" s="1043">
        <f t="shared" si="9"/>
        <v>2.9000000000000012</v>
      </c>
      <c r="C32" s="123">
        <f t="shared" si="0"/>
        <v>1.2561412451367524</v>
      </c>
      <c r="D32" s="154">
        <f t="shared" si="1"/>
        <v>-1.2196605985467035</v>
      </c>
      <c r="E32" s="293">
        <f t="shared" si="2"/>
        <v>0.30053095029698301</v>
      </c>
      <c r="I32" s="353">
        <f t="shared" si="3"/>
        <v>1.565561686931445</v>
      </c>
      <c r="J32" s="350">
        <f t="shared" si="11"/>
        <v>-1.5200949029714539</v>
      </c>
      <c r="K32" s="351">
        <f t="shared" si="12"/>
        <v>0.37455958344145696</v>
      </c>
      <c r="L32" s="216"/>
      <c r="N32" s="1043">
        <f t="shared" si="10"/>
        <v>2.9000000000000012</v>
      </c>
      <c r="O32" s="349">
        <f t="shared" si="4"/>
        <v>1.6328487926500541</v>
      </c>
      <c r="P32" s="350">
        <f t="shared" si="5"/>
        <v>-1.5854278676782212</v>
      </c>
      <c r="Q32" s="351">
        <f t="shared" si="6"/>
        <v>0.39065797834938437</v>
      </c>
      <c r="AB32" s="1024"/>
      <c r="AC32" s="1023"/>
      <c r="AD32" s="1023"/>
      <c r="AE32" s="1023"/>
    </row>
    <row r="33" spans="1:31" x14ac:dyDescent="0.2">
      <c r="B33" s="1043">
        <f t="shared" si="9"/>
        <v>3.0000000000000013</v>
      </c>
      <c r="C33" s="123">
        <f t="shared" si="0"/>
        <v>1.3428097451805743</v>
      </c>
      <c r="D33" s="154">
        <f t="shared" si="1"/>
        <v>-1.3293715720907249</v>
      </c>
      <c r="E33" s="293">
        <f t="shared" si="2"/>
        <v>0.18949732206274914</v>
      </c>
      <c r="I33" s="353">
        <f t="shared" si="3"/>
        <v>1.6198936870653005</v>
      </c>
      <c r="J33" s="350">
        <f t="shared" si="11"/>
        <v>-1.6036825954850777</v>
      </c>
      <c r="K33" s="351">
        <f t="shared" si="12"/>
        <v>0.22859941017478111</v>
      </c>
      <c r="L33" s="216"/>
      <c r="N33" s="1043">
        <f t="shared" si="10"/>
        <v>3.0000000000000013</v>
      </c>
      <c r="O33" s="123">
        <f t="shared" si="4"/>
        <v>1.5802800929908964</v>
      </c>
      <c r="P33" s="154">
        <f t="shared" si="5"/>
        <v>-1.564465434588042</v>
      </c>
      <c r="Q33" s="293">
        <f t="shared" si="6"/>
        <v>0.22300913945972095</v>
      </c>
      <c r="AB33" s="740"/>
      <c r="AC33" s="1023"/>
      <c r="AD33" s="1023"/>
      <c r="AE33" s="1023"/>
    </row>
    <row r="34" spans="1:31" x14ac:dyDescent="0.2">
      <c r="B34" s="1043">
        <f t="shared" si="9"/>
        <v>3.1000000000000014</v>
      </c>
      <c r="C34" s="123">
        <f t="shared" si="0"/>
        <v>1.4266087511496686</v>
      </c>
      <c r="D34" s="154">
        <f t="shared" si="1"/>
        <v>-1.4253749489610996</v>
      </c>
      <c r="E34" s="293">
        <f t="shared" si="2"/>
        <v>5.9319336905930588E-2</v>
      </c>
      <c r="I34" s="353">
        <f t="shared" si="3"/>
        <v>1.6473541030434602</v>
      </c>
      <c r="J34" s="350">
        <f t="shared" si="11"/>
        <v>-1.6459293892976312</v>
      </c>
      <c r="K34" s="351">
        <f t="shared" si="12"/>
        <v>6.849807486674396E-2</v>
      </c>
      <c r="L34" s="216"/>
      <c r="N34" s="1043">
        <f t="shared" si="10"/>
        <v>3.1000000000000014</v>
      </c>
      <c r="O34" s="123">
        <f t="shared" si="4"/>
        <v>1.499383397976819</v>
      </c>
      <c r="P34" s="154">
        <f t="shared" si="5"/>
        <v>-1.4980866566548294</v>
      </c>
      <c r="Q34" s="293">
        <f t="shared" si="6"/>
        <v>6.2345354929352163E-2</v>
      </c>
      <c r="AB34" s="1024"/>
      <c r="AC34" s="1023"/>
      <c r="AD34" s="1023"/>
      <c r="AE34" s="1023"/>
    </row>
    <row r="35" spans="1:31" x14ac:dyDescent="0.2">
      <c r="B35" s="1043">
        <f t="shared" si="9"/>
        <v>3.2000000000000015</v>
      </c>
      <c r="C35" s="123">
        <f t="shared" ref="C35:C66" si="13">$G$12*(1-$G$13^2)/(1+$G$13*COS($G$11*B35))</f>
        <v>1.5033184615889961</v>
      </c>
      <c r="D35" s="154">
        <f t="shared" ref="D35:D66" si="14">C35*COS(B35)</f>
        <v>-1.5007549665600999</v>
      </c>
      <c r="E35" s="293">
        <f t="shared" ref="E35:E66" si="15">C35*SIN(B35)</f>
        <v>-8.7754927494127097E-2</v>
      </c>
      <c r="I35" s="353">
        <f t="shared" si="3"/>
        <v>1.6447912012861232</v>
      </c>
      <c r="J35" s="1023">
        <f t="shared" si="11"/>
        <v>-1.6419864635171129</v>
      </c>
      <c r="K35" s="351">
        <f t="shared" si="12"/>
        <v>-9.6013277492300098E-2</v>
      </c>
      <c r="L35" s="216"/>
      <c r="N35" s="1043">
        <f t="shared" si="10"/>
        <v>3.2000000000000015</v>
      </c>
      <c r="O35" s="123">
        <f t="shared" ref="O35:O66" si="16">$G$12*(1-$G$13^2)/(1+$G$13*COS($H$11*N35))</f>
        <v>1.399729820452521</v>
      </c>
      <c r="P35" s="154">
        <f t="shared" si="5"/>
        <v>-1.3973429672818793</v>
      </c>
      <c r="Q35" s="293">
        <f t="shared" si="6"/>
        <v>-8.1708029298958249E-2</v>
      </c>
      <c r="AB35" s="1024"/>
      <c r="AC35" s="1023"/>
      <c r="AD35" s="1023"/>
      <c r="AE35" s="1023"/>
    </row>
    <row r="36" spans="1:31" x14ac:dyDescent="0.2">
      <c r="B36" s="1043">
        <f t="shared" si="9"/>
        <v>3.3000000000000016</v>
      </c>
      <c r="C36" s="123">
        <f t="shared" si="13"/>
        <v>1.5681846905850576</v>
      </c>
      <c r="D36" s="154">
        <f t="shared" si="14"/>
        <v>-1.5485506574335368</v>
      </c>
      <c r="E36" s="293">
        <f t="shared" si="15"/>
        <v>-0.24737438256115757</v>
      </c>
      <c r="I36" s="353">
        <f t="shared" ref="I36:I66" si="17">$G$12*(1-$G$13^2)/(1+$G$13*COS(B36))</f>
        <v>1.6125062373576551</v>
      </c>
      <c r="J36" s="1023">
        <f t="shared" ref="J36:J66" si="18">I36*COS(B36)</f>
        <v>-1.5923172882425463</v>
      </c>
      <c r="K36" s="351">
        <f t="shared" ref="K36:K66" si="19">I36*SIN(B36)</f>
        <v>-0.25436591572230349</v>
      </c>
      <c r="L36" s="216"/>
      <c r="N36" s="1043">
        <f t="shared" si="10"/>
        <v>3.3000000000000016</v>
      </c>
      <c r="O36" s="123">
        <f t="shared" si="16"/>
        <v>1.2909014028515393</v>
      </c>
      <c r="P36" s="154">
        <f t="shared" si="5"/>
        <v>-1.2747390202628686</v>
      </c>
      <c r="Q36" s="293">
        <f t="shared" si="6"/>
        <v>-0.20363413786331122</v>
      </c>
      <c r="AB36" s="1024"/>
      <c r="AC36" s="1023"/>
      <c r="AD36" s="1023"/>
      <c r="AE36" s="1023"/>
    </row>
    <row r="37" spans="1:31" x14ac:dyDescent="0.2">
      <c r="B37" s="1043">
        <f t="shared" si="9"/>
        <v>3.4000000000000017</v>
      </c>
      <c r="C37" s="123">
        <f t="shared" si="13"/>
        <v>1.616473032307943</v>
      </c>
      <c r="D37" s="154">
        <f t="shared" si="14"/>
        <v>-1.5628032059887593</v>
      </c>
      <c r="E37" s="293">
        <f t="shared" si="15"/>
        <v>-0.4130753000726281</v>
      </c>
      <c r="I37" s="353">
        <f t="shared" si="17"/>
        <v>1.5541691536836948</v>
      </c>
      <c r="J37" s="1023">
        <f t="shared" si="18"/>
        <v>-1.502567928744146</v>
      </c>
      <c r="K37" s="351">
        <f t="shared" si="19"/>
        <v>-0.39715409826844167</v>
      </c>
      <c r="L37" s="216"/>
      <c r="N37" s="1043">
        <f t="shared" si="10"/>
        <v>3.4000000000000017</v>
      </c>
      <c r="O37" s="123">
        <f t="shared" si="16"/>
        <v>1.1808148167310362</v>
      </c>
      <c r="P37" s="154">
        <f t="shared" si="5"/>
        <v>-1.1416096305866128</v>
      </c>
      <c r="Q37" s="293">
        <f t="shared" si="6"/>
        <v>-0.30174671955706178</v>
      </c>
      <c r="AB37" s="1024"/>
      <c r="AC37" s="1023"/>
      <c r="AD37" s="1023"/>
      <c r="AE37" s="1023"/>
    </row>
    <row r="38" spans="1:31" x14ac:dyDescent="0.2">
      <c r="B38" s="1043">
        <f t="shared" si="9"/>
        <v>3.5000000000000018</v>
      </c>
      <c r="C38" s="349">
        <f t="shared" si="13"/>
        <v>1.6442098064694266</v>
      </c>
      <c r="D38" s="350">
        <f t="shared" si="14"/>
        <v>-1.5397312685773996</v>
      </c>
      <c r="E38" s="351">
        <f t="shared" si="15"/>
        <v>-0.57676122291227339</v>
      </c>
      <c r="I38" s="353">
        <f t="shared" si="17"/>
        <v>1.4758378387378639</v>
      </c>
      <c r="J38" s="1023">
        <f t="shared" si="18"/>
        <v>-1.3820582134428676</v>
      </c>
      <c r="K38" s="351">
        <f t="shared" si="19"/>
        <v>-0.51769916061894306</v>
      </c>
      <c r="L38" s="216"/>
      <c r="N38" s="1043">
        <f t="shared" si="10"/>
        <v>3.5000000000000018</v>
      </c>
      <c r="O38" s="123">
        <f t="shared" si="16"/>
        <v>1.0750611725320034</v>
      </c>
      <c r="P38" s="154">
        <f t="shared" si="5"/>
        <v>-1.0067482242642785</v>
      </c>
      <c r="Q38" s="293">
        <f t="shared" si="6"/>
        <v>-0.37711342806456521</v>
      </c>
      <c r="AB38" s="1024"/>
      <c r="AC38" s="1023"/>
      <c r="AD38" s="1023"/>
      <c r="AE38" s="1023"/>
    </row>
    <row r="39" spans="1:31" x14ac:dyDescent="0.2">
      <c r="A39" s="1050" t="s">
        <v>90</v>
      </c>
      <c r="B39" s="1064">
        <f t="shared" si="9"/>
        <v>3.6000000000000019</v>
      </c>
      <c r="C39" s="1047">
        <f>$G$12*(1-$G$13^2)/(1+$G$13*COS($G$11*B39))</f>
        <v>1.648932316740541</v>
      </c>
      <c r="D39" s="1048">
        <f>C39*COS(B39)</f>
        <v>-1.4786939330024422</v>
      </c>
      <c r="E39" s="1049">
        <f>C39*SIN(B39)</f>
        <v>-0.72968625976723489</v>
      </c>
      <c r="F39" s="287"/>
      <c r="G39" s="287"/>
      <c r="I39" s="353">
        <f t="shared" si="17"/>
        <v>1.3845367239543507</v>
      </c>
      <c r="J39" s="1023">
        <f t="shared" si="18"/>
        <v>-1.2415949599297704</v>
      </c>
      <c r="K39" s="351">
        <f t="shared" si="19"/>
        <v>-0.6126858048422843</v>
      </c>
      <c r="L39" s="983"/>
      <c r="N39" s="1043">
        <f t="shared" si="10"/>
        <v>3.6000000000000019</v>
      </c>
      <c r="O39" s="349">
        <f t="shared" si="16"/>
        <v>0.97701193942709541</v>
      </c>
      <c r="P39" s="350">
        <f t="shared" si="5"/>
        <v>-0.8761436795401949</v>
      </c>
      <c r="Q39" s="351">
        <f t="shared" si="6"/>
        <v>-0.43234775653964336</v>
      </c>
      <c r="AB39" s="1024"/>
      <c r="AC39" s="1023"/>
      <c r="AD39" s="1023"/>
      <c r="AE39" s="1023"/>
    </row>
    <row r="40" spans="1:31" x14ac:dyDescent="0.2">
      <c r="B40" s="1043">
        <f t="shared" si="9"/>
        <v>3.700000000000002</v>
      </c>
      <c r="C40" s="123">
        <f t="shared" si="13"/>
        <v>1.6302078775417743</v>
      </c>
      <c r="D40" s="154">
        <f t="shared" si="14"/>
        <v>-1.3825793526377343</v>
      </c>
      <c r="E40" s="293">
        <f t="shared" si="15"/>
        <v>-0.86374305071536184</v>
      </c>
      <c r="I40" s="353">
        <f t="shared" si="17"/>
        <v>1.2869511549719417</v>
      </c>
      <c r="J40" s="1023">
        <f t="shared" si="18"/>
        <v>-1.0914633153414488</v>
      </c>
      <c r="K40" s="351">
        <f t="shared" si="19"/>
        <v>-0.68187323348806383</v>
      </c>
      <c r="L40" s="216"/>
      <c r="N40" s="1043">
        <f t="shared" si="10"/>
        <v>3.700000000000002</v>
      </c>
      <c r="O40" s="123">
        <f t="shared" si="16"/>
        <v>0.88829586381937886</v>
      </c>
      <c r="P40" s="154">
        <f t="shared" si="5"/>
        <v>-0.75336375027343871</v>
      </c>
      <c r="Q40" s="293">
        <f t="shared" si="6"/>
        <v>-0.47065125247103756</v>
      </c>
      <c r="AB40" s="1024"/>
      <c r="AC40" s="1023"/>
      <c r="AD40" s="1023"/>
      <c r="AE40" s="1023"/>
    </row>
    <row r="41" spans="1:31" x14ac:dyDescent="0.2">
      <c r="B41" s="1043">
        <f t="shared" si="9"/>
        <v>3.800000000000002</v>
      </c>
      <c r="C41" s="123">
        <f t="shared" si="13"/>
        <v>1.5897290876872736</v>
      </c>
      <c r="D41" s="154">
        <f t="shared" si="14"/>
        <v>-1.257424379051794</v>
      </c>
      <c r="E41" s="293">
        <f t="shared" si="15"/>
        <v>-0.97268828676263075</v>
      </c>
      <c r="I41" s="353">
        <f t="shared" si="17"/>
        <v>1.1885871252818012</v>
      </c>
      <c r="J41" s="1023">
        <f t="shared" si="18"/>
        <v>-0.94013403889507907</v>
      </c>
      <c r="K41" s="351">
        <f t="shared" si="19"/>
        <v>-0.72724641167659421</v>
      </c>
      <c r="L41" s="216"/>
      <c r="N41" s="1043">
        <f t="shared" si="10"/>
        <v>3.800000000000002</v>
      </c>
      <c r="O41" s="123">
        <f t="shared" si="16"/>
        <v>0.80934633050714122</v>
      </c>
      <c r="P41" s="154">
        <f t="shared" si="5"/>
        <v>-0.6401668151875618</v>
      </c>
      <c r="Q41" s="293">
        <f t="shared" si="6"/>
        <v>-0.4952049388263296</v>
      </c>
      <c r="AB41" s="1024"/>
      <c r="AC41" s="1023"/>
      <c r="AD41" s="1023"/>
      <c r="AE41" s="1023"/>
    </row>
    <row r="42" spans="1:31" x14ac:dyDescent="0.2">
      <c r="B42" s="1043">
        <f t="shared" si="9"/>
        <v>3.9000000000000021</v>
      </c>
      <c r="C42" s="123">
        <f t="shared" si="13"/>
        <v>1.5309480324063254</v>
      </c>
      <c r="D42" s="154">
        <f t="shared" si="14"/>
        <v>-1.1113646327753923</v>
      </c>
      <c r="E42" s="293">
        <f t="shared" si="15"/>
        <v>-1.0529342481583626</v>
      </c>
      <c r="I42" s="353">
        <f t="shared" si="17"/>
        <v>1.093451781177033</v>
      </c>
      <c r="J42" s="1023">
        <f t="shared" si="18"/>
        <v>-0.79377197104158936</v>
      </c>
      <c r="K42" s="351">
        <f t="shared" si="19"/>
        <v>-0.75203913179300463</v>
      </c>
      <c r="L42" s="216"/>
      <c r="N42" s="1043">
        <f t="shared" si="10"/>
        <v>3.9000000000000021</v>
      </c>
      <c r="O42" s="123">
        <f t="shared" si="16"/>
        <v>0.73986674573546607</v>
      </c>
      <c r="P42" s="154">
        <f t="shared" si="5"/>
        <v>-0.537093171532805</v>
      </c>
      <c r="Q42" s="293">
        <f t="shared" si="6"/>
        <v>-0.50885531002242834</v>
      </c>
      <c r="AB42" s="1024"/>
      <c r="AC42" s="1023"/>
      <c r="AD42" s="1023"/>
      <c r="AE42" s="1023"/>
    </row>
    <row r="43" spans="1:31" x14ac:dyDescent="0.2">
      <c r="B43" s="1043">
        <f t="shared" si="9"/>
        <v>4.0000000000000018</v>
      </c>
      <c r="C43" s="123">
        <f t="shared" si="13"/>
        <v>1.4583894351946356</v>
      </c>
      <c r="D43" s="154">
        <f t="shared" si="14"/>
        <v>-0.95326695104985759</v>
      </c>
      <c r="E43" s="293">
        <f t="shared" si="15"/>
        <v>-1.103712763686022</v>
      </c>
      <c r="I43" s="353">
        <f t="shared" si="17"/>
        <v>1.0041179329567624</v>
      </c>
      <c r="J43" s="1023">
        <f t="shared" si="18"/>
        <v>-0.65633528147194242</v>
      </c>
      <c r="K43" s="351">
        <f t="shared" si="19"/>
        <v>-0.75991895724511804</v>
      </c>
      <c r="L43" s="216"/>
      <c r="N43" s="1043">
        <f t="shared" si="10"/>
        <v>4.0000000000000018</v>
      </c>
      <c r="O43" s="123">
        <f t="shared" si="16"/>
        <v>0.67916958996382171</v>
      </c>
      <c r="P43" s="154">
        <f t="shared" si="5"/>
        <v>-0.44393486996440618</v>
      </c>
      <c r="Q43" s="293">
        <f t="shared" si="6"/>
        <v>-0.51399724042188355</v>
      </c>
      <c r="AB43" s="740"/>
      <c r="AC43" s="1023"/>
      <c r="AD43" s="1023"/>
      <c r="AE43" s="1023"/>
    </row>
    <row r="44" spans="1:31" x14ac:dyDescent="0.2">
      <c r="B44" s="1043">
        <f t="shared" si="9"/>
        <v>4.1000000000000014</v>
      </c>
      <c r="C44" s="123">
        <f t="shared" si="13"/>
        <v>1.3768792315917426</v>
      </c>
      <c r="D44" s="154">
        <f t="shared" si="14"/>
        <v>-0.7914631538032586</v>
      </c>
      <c r="E44" s="293">
        <f t="shared" si="15"/>
        <v>-1.1266687599114777</v>
      </c>
      <c r="I44" s="353">
        <f t="shared" si="17"/>
        <v>0.92198721376539228</v>
      </c>
      <c r="J44" s="1023">
        <f t="shared" si="18"/>
        <v>-0.52998032886983437</v>
      </c>
      <c r="K44" s="351">
        <f t="shared" si="19"/>
        <v>-0.75444103371827109</v>
      </c>
      <c r="L44" s="216"/>
      <c r="N44" s="1043">
        <f t="shared" si="10"/>
        <v>4.1000000000000014</v>
      </c>
      <c r="O44" s="123">
        <f t="shared" si="16"/>
        <v>0.6263991940148631</v>
      </c>
      <c r="P44" s="154">
        <f t="shared" si="5"/>
        <v>-0.36006925680888169</v>
      </c>
      <c r="Q44" s="293">
        <f t="shared" si="6"/>
        <v>-0.51256812285155795</v>
      </c>
      <c r="AB44" s="1024"/>
      <c r="AC44" s="1023"/>
      <c r="AD44" s="1023"/>
      <c r="AE44" s="1023"/>
    </row>
    <row r="45" spans="1:31" x14ac:dyDescent="0.2">
      <c r="B45" s="1043">
        <f t="shared" si="9"/>
        <v>4.2000000000000011</v>
      </c>
      <c r="C45" s="123">
        <f t="shared" si="13"/>
        <v>1.2909014028515402</v>
      </c>
      <c r="D45" s="154">
        <f t="shared" si="14"/>
        <v>-0.6328783820318562</v>
      </c>
      <c r="E45" s="293">
        <f t="shared" si="15"/>
        <v>-1.1251183873001163</v>
      </c>
      <c r="I45" s="353">
        <f t="shared" si="17"/>
        <v>0.84760630664509817</v>
      </c>
      <c r="J45" s="1023">
        <f t="shared" si="18"/>
        <v>-0.41554816406938189</v>
      </c>
      <c r="K45" s="351">
        <f t="shared" si="19"/>
        <v>-0.73875312141683047</v>
      </c>
      <c r="L45" s="216"/>
      <c r="N45" s="1043">
        <f t="shared" si="10"/>
        <v>4.2000000000000011</v>
      </c>
      <c r="O45" s="123">
        <f t="shared" si="16"/>
        <v>0.58066624137313094</v>
      </c>
      <c r="P45" s="154">
        <f t="shared" si="5"/>
        <v>-0.28467790842040752</v>
      </c>
      <c r="Q45" s="293">
        <f t="shared" si="6"/>
        <v>-0.50609462783928194</v>
      </c>
      <c r="AB45" s="1024"/>
      <c r="AC45" s="1023"/>
      <c r="AD45" s="1023"/>
      <c r="AE45" s="1023"/>
    </row>
    <row r="46" spans="1:31" x14ac:dyDescent="0.2">
      <c r="B46" s="1043">
        <f t="shared" si="9"/>
        <v>4.3000000000000007</v>
      </c>
      <c r="C46" s="123">
        <f t="shared" si="13"/>
        <v>1.2041943652433655</v>
      </c>
      <c r="D46" s="154">
        <f t="shared" si="14"/>
        <v>-0.48264010461291146</v>
      </c>
      <c r="E46" s="293">
        <f t="shared" si="15"/>
        <v>-1.1032418586616037</v>
      </c>
      <c r="I46" s="353">
        <f t="shared" si="17"/>
        <v>0.78095361569124333</v>
      </c>
      <c r="J46" s="1023">
        <f t="shared" si="18"/>
        <v>-0.31300556260191298</v>
      </c>
      <c r="K46" s="351">
        <f t="shared" si="19"/>
        <v>-0.715483100877642</v>
      </c>
      <c r="L46" s="216"/>
      <c r="N46" s="1043">
        <f t="shared" si="10"/>
        <v>4.3000000000000007</v>
      </c>
      <c r="O46" s="349">
        <f t="shared" si="16"/>
        <v>0.54112212906681334</v>
      </c>
      <c r="P46" s="350">
        <f t="shared" si="5"/>
        <v>-0.21688130132413194</v>
      </c>
      <c r="Q46" s="351">
        <f t="shared" si="6"/>
        <v>-0.49575766227235668</v>
      </c>
      <c r="AB46" s="1024"/>
      <c r="AC46" s="1023"/>
      <c r="AD46" s="1023"/>
      <c r="AE46" s="1023"/>
    </row>
    <row r="47" spans="1:31" x14ac:dyDescent="0.2">
      <c r="B47" s="1043">
        <f t="shared" si="9"/>
        <v>4.4000000000000004</v>
      </c>
      <c r="C47" s="123">
        <f t="shared" si="13"/>
        <v>1.1195912492040285</v>
      </c>
      <c r="D47" s="154">
        <f t="shared" si="14"/>
        <v>-0.34408719182059783</v>
      </c>
      <c r="E47" s="293">
        <f t="shared" si="15"/>
        <v>-1.0654053546511075</v>
      </c>
      <c r="I47" s="353">
        <f t="shared" si="17"/>
        <v>0.72166424290664677</v>
      </c>
      <c r="J47" s="1023">
        <f t="shared" si="18"/>
        <v>-0.2217911429333029</v>
      </c>
      <c r="K47" s="351">
        <f t="shared" si="19"/>
        <v>-0.68673719020187252</v>
      </c>
      <c r="L47" s="216"/>
      <c r="N47" s="1043">
        <f t="shared" si="10"/>
        <v>4.4000000000000004</v>
      </c>
      <c r="O47" s="123">
        <f t="shared" si="16"/>
        <v>0.50699529674668475</v>
      </c>
      <c r="P47" s="154">
        <f t="shared" si="5"/>
        <v>-0.15581631961471901</v>
      </c>
      <c r="Q47" s="293">
        <f t="shared" si="6"/>
        <v>-0.48245777583637578</v>
      </c>
      <c r="AB47" s="1024"/>
      <c r="AC47" s="1023"/>
      <c r="AD47" s="1023"/>
      <c r="AE47" s="1023"/>
    </row>
    <row r="48" spans="1:31" x14ac:dyDescent="0.2">
      <c r="B48" s="1043">
        <f t="shared" si="9"/>
        <v>4.5</v>
      </c>
      <c r="C48" s="123">
        <f t="shared" si="13"/>
        <v>1.0390430498475571</v>
      </c>
      <c r="D48" s="154">
        <f t="shared" si="14"/>
        <v>-0.21902591033561128</v>
      </c>
      <c r="E48" s="293">
        <f t="shared" si="15"/>
        <v>-1.0156958747765839</v>
      </c>
      <c r="I48" s="353">
        <f t="shared" si="17"/>
        <v>0.66919067980932123</v>
      </c>
      <c r="J48" s="1023">
        <f t="shared" si="18"/>
        <v>-0.14106258432203278</v>
      </c>
      <c r="K48" s="351">
        <f t="shared" si="19"/>
        <v>-0.65415404397439203</v>
      </c>
      <c r="L48" s="216"/>
      <c r="N48" s="1043">
        <f t="shared" si="10"/>
        <v>4.5</v>
      </c>
      <c r="O48" s="123">
        <f t="shared" si="16"/>
        <v>0.47760495124552504</v>
      </c>
      <c r="P48" s="154">
        <f t="shared" si="5"/>
        <v>-0.10067711750989901</v>
      </c>
      <c r="Q48" s="293">
        <f t="shared" si="6"/>
        <v>-0.46687322418847099</v>
      </c>
      <c r="AB48" s="1024"/>
      <c r="AC48" s="1023"/>
      <c r="AD48" s="1023"/>
      <c r="AE48" s="1023"/>
    </row>
    <row r="49" spans="2:31" x14ac:dyDescent="0.2">
      <c r="B49" s="1043">
        <f t="shared" si="9"/>
        <v>4.5999999999999996</v>
      </c>
      <c r="C49" s="123">
        <f t="shared" si="13"/>
        <v>0.9637461677837984</v>
      </c>
      <c r="D49" s="154">
        <f t="shared" si="14"/>
        <v>-0.10808656804092837</v>
      </c>
      <c r="E49" s="293">
        <f t="shared" si="15"/>
        <v>-0.95766589671298785</v>
      </c>
      <c r="I49" s="353">
        <f t="shared" si="17"/>
        <v>0.62290957378911671</v>
      </c>
      <c r="J49" s="1023">
        <f t="shared" si="18"/>
        <v>-6.986088275248746E-2</v>
      </c>
      <c r="K49" s="351">
        <f t="shared" si="19"/>
        <v>-0.6189796395514009</v>
      </c>
      <c r="L49" s="216"/>
      <c r="N49" s="1043">
        <f t="shared" si="10"/>
        <v>4.5999999999999996</v>
      </c>
      <c r="O49" s="123">
        <f t="shared" si="16"/>
        <v>0.45236219670038602</v>
      </c>
      <c r="P49" s="154">
        <f t="shared" si="5"/>
        <v>-5.0733563449840632E-2</v>
      </c>
      <c r="Q49" s="293">
        <f t="shared" si="6"/>
        <v>-0.44950824524504523</v>
      </c>
      <c r="AB49" s="1024"/>
      <c r="AC49" s="1023"/>
      <c r="AD49" s="1023"/>
      <c r="AE49" s="1023"/>
    </row>
    <row r="50" spans="2:31" x14ac:dyDescent="0.2">
      <c r="B50" s="1043">
        <f t="shared" si="9"/>
        <v>4.6999999999999993</v>
      </c>
      <c r="C50" s="123">
        <f t="shared" si="13"/>
        <v>0.89430884168685965</v>
      </c>
      <c r="D50" s="154">
        <f t="shared" si="14"/>
        <v>-1.1079291271546771E-2</v>
      </c>
      <c r="E50" s="293">
        <f t="shared" si="15"/>
        <v>-0.89424021024790246</v>
      </c>
      <c r="I50" s="353">
        <f t="shared" si="17"/>
        <v>0.58218814646209205</v>
      </c>
      <c r="J50" s="1023">
        <f t="shared" si="18"/>
        <v>-7.212533018603415E-3</v>
      </c>
      <c r="K50" s="351">
        <f t="shared" si="19"/>
        <v>-0.58214346792558092</v>
      </c>
      <c r="L50" s="216"/>
      <c r="N50" s="1043">
        <f t="shared" si="10"/>
        <v>4.6999999999999993</v>
      </c>
      <c r="O50" s="123">
        <f t="shared" si="16"/>
        <v>0.43076473572851398</v>
      </c>
      <c r="P50" s="154">
        <f t="shared" si="5"/>
        <v>-5.3365993426219317E-3</v>
      </c>
      <c r="Q50" s="293">
        <f t="shared" si="6"/>
        <v>-0.43073167779339472</v>
      </c>
      <c r="AB50" s="1024"/>
      <c r="AC50" s="1023"/>
      <c r="AD50" s="1023"/>
      <c r="AE50" s="1023"/>
    </row>
    <row r="51" spans="2:31" x14ac:dyDescent="0.2">
      <c r="B51" s="1043">
        <f t="shared" si="9"/>
        <v>4.7999999999999989</v>
      </c>
      <c r="C51" s="123">
        <f t="shared" si="13"/>
        <v>0.83091431112662262</v>
      </c>
      <c r="D51" s="154">
        <f t="shared" si="14"/>
        <v>7.2704157548866624E-2</v>
      </c>
      <c r="E51" s="293">
        <f t="shared" si="15"/>
        <v>-0.82772742971955415</v>
      </c>
      <c r="I51" s="353">
        <f t="shared" si="17"/>
        <v>0.54642257699024432</v>
      </c>
      <c r="J51" s="1023">
        <f t="shared" si="18"/>
        <v>4.7811420015008529E-2</v>
      </c>
      <c r="K51" s="351">
        <f t="shared" si="19"/>
        <v>-0.54432683266655879</v>
      </c>
      <c r="L51" s="216"/>
      <c r="N51" s="1043">
        <f t="shared" si="10"/>
        <v>4.7999999999999989</v>
      </c>
      <c r="O51" s="123">
        <f t="shared" si="16"/>
        <v>0.41238877526786361</v>
      </c>
      <c r="P51" s="154">
        <f t="shared" si="5"/>
        <v>3.6083598617776012E-2</v>
      </c>
      <c r="Q51" s="293">
        <f t="shared" si="6"/>
        <v>-0.41080710300300283</v>
      </c>
      <c r="AB51" s="1024"/>
      <c r="AC51" s="1023"/>
      <c r="AD51" s="1023"/>
      <c r="AE51" s="1023"/>
    </row>
    <row r="52" spans="2:31" x14ac:dyDescent="0.2">
      <c r="B52" s="1043">
        <f t="shared" si="9"/>
        <v>4.8999999999999986</v>
      </c>
      <c r="C52" s="123">
        <f t="shared" si="13"/>
        <v>0.77345971819068182</v>
      </c>
      <c r="D52" s="154">
        <f t="shared" si="14"/>
        <v>0.14425980469266045</v>
      </c>
      <c r="E52" s="293">
        <f t="shared" si="15"/>
        <v>-0.75988752089611555</v>
      </c>
      <c r="I52" s="353">
        <f t="shared" si="17"/>
        <v>0.51505795792084941</v>
      </c>
      <c r="J52" s="1023">
        <f t="shared" si="18"/>
        <v>9.6064680121770052E-2</v>
      </c>
      <c r="K52" s="351">
        <f t="shared" si="19"/>
        <v>-0.50602003641229221</v>
      </c>
      <c r="L52" s="216"/>
      <c r="N52" s="1043">
        <f t="shared" si="10"/>
        <v>4.8999999999999986</v>
      </c>
      <c r="O52" s="123">
        <f t="shared" si="16"/>
        <v>0.39688018350478338</v>
      </c>
      <c r="P52" s="154">
        <f t="shared" si="5"/>
        <v>7.4023063402343117E-2</v>
      </c>
      <c r="Q52" s="293">
        <f t="shared" si="6"/>
        <v>-0.38991597318309906</v>
      </c>
      <c r="AB52" s="1024"/>
      <c r="AC52" s="1023"/>
      <c r="AD52" s="1023"/>
      <c r="AE52" s="1023"/>
    </row>
    <row r="53" spans="2:31" x14ac:dyDescent="0.2">
      <c r="B53" s="1043">
        <f t="shared" si="9"/>
        <v>4.9999999999999982</v>
      </c>
      <c r="C53" s="123">
        <f t="shared" si="13"/>
        <v>0.72166424290664777</v>
      </c>
      <c r="D53" s="154">
        <f t="shared" si="14"/>
        <v>0.20470885631356309</v>
      </c>
      <c r="E53" s="293">
        <f t="shared" si="15"/>
        <v>-0.69202136067958053</v>
      </c>
      <c r="I53" s="353">
        <f t="shared" si="17"/>
        <v>0.48759671299808161</v>
      </c>
      <c r="J53" s="1023">
        <f t="shared" si="18"/>
        <v>0.1383127492337205</v>
      </c>
      <c r="K53" s="351">
        <f t="shared" si="19"/>
        <v>-0.46756832433981615</v>
      </c>
      <c r="L53" s="216"/>
      <c r="N53" s="1043">
        <f t="shared" si="10"/>
        <v>4.9999999999999982</v>
      </c>
      <c r="O53" s="123">
        <f t="shared" si="16"/>
        <v>0.38394598609562214</v>
      </c>
      <c r="P53" s="154">
        <f t="shared" si="5"/>
        <v>0.10891095751571701</v>
      </c>
      <c r="Q53" s="293">
        <f t="shared" si="6"/>
        <v>-0.36817512622656812</v>
      </c>
      <c r="AB53" s="740"/>
      <c r="AC53" s="1023"/>
      <c r="AD53" s="1023"/>
      <c r="AE53" s="1023"/>
    </row>
    <row r="54" spans="2:31" x14ac:dyDescent="0.2">
      <c r="B54" s="1043">
        <f t="shared" si="9"/>
        <v>5.0999999999999979</v>
      </c>
      <c r="C54" s="123">
        <f t="shared" si="13"/>
        <v>0.6751479720823117</v>
      </c>
      <c r="D54" s="154">
        <f t="shared" si="14"/>
        <v>0.25519090648491727</v>
      </c>
      <c r="E54" s="293">
        <f t="shared" si="15"/>
        <v>-0.62506190529759864</v>
      </c>
      <c r="I54" s="353">
        <f t="shared" si="17"/>
        <v>0.46360015012687078</v>
      </c>
      <c r="J54" s="1023">
        <f t="shared" si="18"/>
        <v>0.1752305382663526</v>
      </c>
      <c r="K54" s="351">
        <f t="shared" si="19"/>
        <v>-0.42920782571679827</v>
      </c>
      <c r="L54" s="216"/>
      <c r="N54" s="1043">
        <f t="shared" si="10"/>
        <v>5.0999999999999979</v>
      </c>
      <c r="O54" s="123">
        <f t="shared" si="16"/>
        <v>0.37334673092664455</v>
      </c>
      <c r="P54" s="154">
        <f t="shared" si="5"/>
        <v>0.1411167546049229</v>
      </c>
      <c r="Q54" s="293">
        <f t="shared" si="6"/>
        <v>-0.34564988509094907</v>
      </c>
      <c r="AB54" s="1024"/>
      <c r="AC54" s="1023"/>
      <c r="AD54" s="1023"/>
      <c r="AE54" s="1023"/>
    </row>
    <row r="55" spans="2:31" x14ac:dyDescent="0.2">
      <c r="B55" s="1043">
        <f t="shared" si="9"/>
        <v>5.1999999999999975</v>
      </c>
      <c r="C55" s="123">
        <f t="shared" si="13"/>
        <v>0.63348641444223719</v>
      </c>
      <c r="D55" s="154">
        <f t="shared" si="14"/>
        <v>0.29679894620848662</v>
      </c>
      <c r="E55" s="293">
        <f t="shared" si="15"/>
        <v>-0.55965652217446171</v>
      </c>
      <c r="I55" s="353">
        <f t="shared" si="17"/>
        <v>0.442686190682128</v>
      </c>
      <c r="J55" s="1023">
        <f t="shared" si="18"/>
        <v>0.20740586048903359</v>
      </c>
      <c r="K55" s="351">
        <f t="shared" si="19"/>
        <v>-0.39109317618114603</v>
      </c>
      <c r="L55" s="216"/>
      <c r="N55" s="1043">
        <f t="shared" si="10"/>
        <v>5.1999999999999975</v>
      </c>
      <c r="O55" s="123">
        <f t="shared" si="16"/>
        <v>0.36488993695291649</v>
      </c>
      <c r="P55" s="154">
        <f t="shared" si="5"/>
        <v>0.17095701865218405</v>
      </c>
      <c r="Q55" s="293">
        <f t="shared" si="6"/>
        <v>-0.32236371362648769</v>
      </c>
      <c r="AB55" s="1024"/>
      <c r="AC55" s="1023"/>
      <c r="AD55" s="1023"/>
      <c r="AE55" s="1023"/>
    </row>
    <row r="56" spans="2:31" x14ac:dyDescent="0.2">
      <c r="B56" s="1043">
        <f t="shared" si="9"/>
        <v>5.2999999999999972</v>
      </c>
      <c r="C56" s="349">
        <f t="shared" si="13"/>
        <v>0.59624632075764272</v>
      </c>
      <c r="D56" s="350">
        <f t="shared" si="14"/>
        <v>0.33054365826928384</v>
      </c>
      <c r="E56" s="351">
        <f t="shared" si="15"/>
        <v>-0.49623640031237598</v>
      </c>
      <c r="I56" s="353">
        <f t="shared" si="17"/>
        <v>0.42452518576693049</v>
      </c>
      <c r="J56" s="1023">
        <f t="shared" si="18"/>
        <v>0.23534586805087607</v>
      </c>
      <c r="K56" s="351">
        <f t="shared" si="19"/>
        <v>-0.3533184905178704</v>
      </c>
      <c r="L56" s="216"/>
      <c r="N56" s="1043">
        <f t="shared" si="10"/>
        <v>5.2999999999999972</v>
      </c>
      <c r="O56" s="123">
        <f t="shared" si="16"/>
        <v>0.35842467585815818</v>
      </c>
      <c r="P56" s="154">
        <f t="shared" si="5"/>
        <v>0.19870144174909651</v>
      </c>
      <c r="Q56" s="293">
        <f t="shared" si="6"/>
        <v>-0.29830518820640073</v>
      </c>
      <c r="AB56" s="1024"/>
      <c r="AC56" s="1023"/>
      <c r="AD56" s="1023"/>
      <c r="AE56" s="1023"/>
    </row>
    <row r="57" spans="2:31" x14ac:dyDescent="0.2">
      <c r="B57" s="1043">
        <f t="shared" si="9"/>
        <v>5.3999999999999968</v>
      </c>
      <c r="C57" s="349">
        <f t="shared" si="13"/>
        <v>0.56300793355389878</v>
      </c>
      <c r="D57" s="350">
        <f t="shared" si="14"/>
        <v>0.35733712452584221</v>
      </c>
      <c r="E57" s="351">
        <f t="shared" si="15"/>
        <v>-0.43507253726273509</v>
      </c>
      <c r="I57" s="353">
        <f t="shared" si="17"/>
        <v>0.40883497857888496</v>
      </c>
      <c r="J57" s="1023">
        <f t="shared" si="18"/>
        <v>0.25948464834017682</v>
      </c>
      <c r="K57" s="351">
        <f t="shared" si="19"/>
        <v>-0.31593315271647593</v>
      </c>
      <c r="L57" s="983"/>
      <c r="N57" s="1043">
        <f t="shared" si="10"/>
        <v>5.3999999999999968</v>
      </c>
      <c r="O57" s="349">
        <f t="shared" si="16"/>
        <v>0.35383725455269632</v>
      </c>
      <c r="P57" s="350">
        <f t="shared" si="5"/>
        <v>0.22457798470769597</v>
      </c>
      <c r="Q57" s="351">
        <f t="shared" si="6"/>
        <v>-0.27343286469263256</v>
      </c>
      <c r="AB57" s="1024"/>
      <c r="AC57" s="1023"/>
      <c r="AD57" s="1023"/>
      <c r="AE57" s="1023"/>
    </row>
    <row r="58" spans="2:31" x14ac:dyDescent="0.2">
      <c r="B58" s="1043">
        <f t="shared" si="9"/>
        <v>5.4999999999999964</v>
      </c>
      <c r="C58" s="123">
        <f t="shared" si="13"/>
        <v>0.53337780421823999</v>
      </c>
      <c r="D58" s="154">
        <f t="shared" si="14"/>
        <v>0.37798872812730672</v>
      </c>
      <c r="E58" s="293">
        <f t="shared" si="15"/>
        <v>-0.37631954964015918</v>
      </c>
      <c r="I58" s="353">
        <f t="shared" si="17"/>
        <v>0.39537588810203933</v>
      </c>
      <c r="J58" s="1023">
        <f t="shared" si="18"/>
        <v>0.28019094138147771</v>
      </c>
      <c r="K58" s="351">
        <f t="shared" si="19"/>
        <v>-0.27895363281419666</v>
      </c>
      <c r="L58" s="216"/>
      <c r="N58" s="1043">
        <f t="shared" si="10"/>
        <v>5.4999999999999964</v>
      </c>
      <c r="O58" s="123">
        <f t="shared" si="16"/>
        <v>0.35104793514089183</v>
      </c>
      <c r="P58" s="154">
        <f t="shared" si="5"/>
        <v>0.24877706096170785</v>
      </c>
      <c r="Q58" s="293">
        <f t="shared" si="6"/>
        <v>-0.24767847445011953</v>
      </c>
      <c r="AB58" s="1024"/>
      <c r="AC58" s="1023"/>
      <c r="AD58" s="1023"/>
      <c r="AE58" s="1023"/>
    </row>
    <row r="59" spans="2:31" x14ac:dyDescent="0.2">
      <c r="B59" s="1043">
        <f t="shared" si="9"/>
        <v>5.5999999999999961</v>
      </c>
      <c r="C59" s="123">
        <f t="shared" si="13"/>
        <v>0.50699529674668586</v>
      </c>
      <c r="D59" s="154">
        <f t="shared" si="14"/>
        <v>0.39320825272190696</v>
      </c>
      <c r="E59" s="293">
        <f t="shared" si="15"/>
        <v>-0.32004921639436174</v>
      </c>
      <c r="I59" s="353">
        <f t="shared" si="17"/>
        <v>0.38394598609562242</v>
      </c>
      <c r="J59" s="1023">
        <f t="shared" si="18"/>
        <v>0.29777540600673458</v>
      </c>
      <c r="K59" s="351">
        <f t="shared" si="19"/>
        <v>-0.24237229176715774</v>
      </c>
      <c r="L59" s="216"/>
      <c r="M59" s="292" t="s">
        <v>87</v>
      </c>
      <c r="N59" s="1045">
        <f t="shared" si="10"/>
        <v>5.5999999999999961</v>
      </c>
      <c r="O59" s="290">
        <f t="shared" si="16"/>
        <v>0.35000862520580711</v>
      </c>
      <c r="P59" s="291">
        <f t="shared" si="5"/>
        <v>0.2714547468939057</v>
      </c>
      <c r="Q59" s="294">
        <f t="shared" si="6"/>
        <v>-0.22094876805998431</v>
      </c>
      <c r="AB59" s="1024"/>
      <c r="AC59" s="1023"/>
      <c r="AD59" s="1023"/>
      <c r="AE59" s="1023"/>
    </row>
    <row r="60" spans="2:31" x14ac:dyDescent="0.2">
      <c r="B60" s="1043">
        <f t="shared" si="9"/>
        <v>5.6999999999999957</v>
      </c>
      <c r="C60" s="123">
        <f t="shared" si="13"/>
        <v>0.48353502238951207</v>
      </c>
      <c r="D60" s="154">
        <f t="shared" si="14"/>
        <v>0.40361286510601391</v>
      </c>
      <c r="E60" s="293">
        <f t="shared" si="15"/>
        <v>-0.26627574616953109</v>
      </c>
      <c r="I60" s="353">
        <f t="shared" si="17"/>
        <v>0.37437685455227504</v>
      </c>
      <c r="J60" s="1023">
        <f t="shared" si="18"/>
        <v>0.31249714684265367</v>
      </c>
      <c r="K60" s="351">
        <f t="shared" si="19"/>
        <v>-0.20616392128511785</v>
      </c>
      <c r="L60" s="216"/>
      <c r="N60" s="1043">
        <f t="shared" si="10"/>
        <v>5.6999999999999957</v>
      </c>
      <c r="O60" s="349">
        <f t="shared" si="16"/>
        <v>0.35070148246049904</v>
      </c>
      <c r="P60" s="350">
        <f>O60*COS(N60)</f>
        <v>0.29273501107182404</v>
      </c>
      <c r="Q60" s="351">
        <f>O60*SIN(N60)</f>
        <v>-0.19312623615855712</v>
      </c>
      <c r="AB60" s="1024"/>
      <c r="AC60" s="1023"/>
      <c r="AD60" s="1023"/>
      <c r="AE60" s="1023"/>
    </row>
    <row r="61" spans="2:31" x14ac:dyDescent="0.2">
      <c r="B61" s="1043">
        <f t="shared" si="9"/>
        <v>5.7999999999999954</v>
      </c>
      <c r="C61" s="123">
        <f t="shared" si="13"/>
        <v>0.46270676458031657</v>
      </c>
      <c r="D61" s="154">
        <f t="shared" si="14"/>
        <v>0.40973587065664152</v>
      </c>
      <c r="E61" s="293">
        <f t="shared" si="15"/>
        <v>-0.21497457125350525</v>
      </c>
      <c r="I61" s="353">
        <f t="shared" si="17"/>
        <v>0.3665299019071252</v>
      </c>
      <c r="J61" s="1023">
        <f t="shared" si="18"/>
        <v>0.32456938168134575</v>
      </c>
      <c r="K61" s="351">
        <f t="shared" si="19"/>
        <v>-0.1702905912463625</v>
      </c>
      <c r="L61" s="216"/>
      <c r="N61" s="1043">
        <f t="shared" si="10"/>
        <v>5.7999999999999954</v>
      </c>
      <c r="O61" s="123">
        <f t="shared" si="16"/>
        <v>0.35313839680276199</v>
      </c>
      <c r="P61" s="154">
        <f t="shared" si="5"/>
        <v>0.31271094255021287</v>
      </c>
      <c r="Q61" s="293">
        <f t="shared" si="6"/>
        <v>-0.16406886878924487</v>
      </c>
      <c r="AB61" s="1024"/>
      <c r="AC61" s="1023"/>
      <c r="AD61" s="1023"/>
      <c r="AE61" s="1023"/>
    </row>
    <row r="62" spans="2:31" x14ac:dyDescent="0.2">
      <c r="B62" s="1043">
        <f t="shared" si="9"/>
        <v>5.899999999999995</v>
      </c>
      <c r="C62" s="123">
        <f t="shared" si="13"/>
        <v>0.44425394696974518</v>
      </c>
      <c r="D62" s="154">
        <f t="shared" si="14"/>
        <v>0.41203595358734252</v>
      </c>
      <c r="E62" s="293">
        <f t="shared" si="15"/>
        <v>-0.16609618403071907</v>
      </c>
      <c r="I62" s="353">
        <f t="shared" si="17"/>
        <v>0.3602932551305234</v>
      </c>
      <c r="J62" s="1023">
        <f t="shared" si="18"/>
        <v>0.33416422287611769</v>
      </c>
      <c r="K62" s="351">
        <f t="shared" si="19"/>
        <v>-0.13470524058903119</v>
      </c>
      <c r="L62" s="216"/>
      <c r="N62" s="1043">
        <f t="shared" si="10"/>
        <v>5.899999999999995</v>
      </c>
      <c r="O62" s="123">
        <f t="shared" si="16"/>
        <v>0.35736133548050547</v>
      </c>
      <c r="P62" s="154">
        <f t="shared" si="5"/>
        <v>0.33144493064005148</v>
      </c>
      <c r="Q62" s="293">
        <f t="shared" si="6"/>
        <v>-0.13360906424873223</v>
      </c>
      <c r="AB62" s="1024"/>
      <c r="AC62" s="1023"/>
      <c r="AD62" s="1023"/>
      <c r="AE62" s="1023"/>
    </row>
    <row r="63" spans="2:31" x14ac:dyDescent="0.2">
      <c r="B63" s="1043">
        <f t="shared" si="9"/>
        <v>5.9999999999999947</v>
      </c>
      <c r="C63" s="123">
        <f t="shared" si="13"/>
        <v>0.4279513368374751</v>
      </c>
      <c r="D63" s="154">
        <f t="shared" si="14"/>
        <v>0.4109061577636452</v>
      </c>
      <c r="E63" s="293">
        <f t="shared" si="15"/>
        <v>-0.11957623598734163</v>
      </c>
      <c r="I63" s="353">
        <f t="shared" si="17"/>
        <v>0.35557921320470975</v>
      </c>
      <c r="J63" s="1023">
        <f t="shared" si="18"/>
        <v>0.34141659506967725</v>
      </c>
      <c r="K63" s="351">
        <f t="shared" si="19"/>
        <v>-9.9354343006777868E-2</v>
      </c>
      <c r="L63" s="216"/>
      <c r="N63" s="1043">
        <f t="shared" si="10"/>
        <v>5.9999999999999947</v>
      </c>
      <c r="O63" s="123">
        <f t="shared" si="16"/>
        <v>0.3634435609263838</v>
      </c>
      <c r="P63" s="154">
        <f t="shared" si="5"/>
        <v>0.34896770807591515</v>
      </c>
      <c r="Q63" s="293">
        <f t="shared" si="6"/>
        <v>-0.10155176364343906</v>
      </c>
      <c r="AB63" s="740"/>
      <c r="AC63" s="1023"/>
      <c r="AD63" s="1023"/>
      <c r="AE63" s="1023"/>
    </row>
    <row r="64" spans="2:31" x14ac:dyDescent="0.2">
      <c r="B64" s="1043">
        <f t="shared" si="9"/>
        <v>6.0999999999999943</v>
      </c>
      <c r="C64" s="123">
        <f t="shared" si="13"/>
        <v>0.41360242674259551</v>
      </c>
      <c r="D64" s="154">
        <f t="shared" si="14"/>
        <v>0.40668221227925494</v>
      </c>
      <c r="E64" s="293">
        <f t="shared" si="15"/>
        <v>-7.5342853828449449E-2</v>
      </c>
      <c r="I64" s="353">
        <f t="shared" si="17"/>
        <v>0.35232223378344613</v>
      </c>
      <c r="J64" s="1023">
        <f t="shared" si="18"/>
        <v>0.34642733264085196</v>
      </c>
      <c r="K64" s="351">
        <f t="shared" si="19"/>
        <v>-6.4179900416733215E-2</v>
      </c>
      <c r="L64" s="216"/>
      <c r="N64" s="1043">
        <f t="shared" si="10"/>
        <v>6.0999999999999943</v>
      </c>
      <c r="O64" s="123">
        <f t="shared" si="16"/>
        <v>0.37149175389563222</v>
      </c>
      <c r="P64" s="154">
        <f t="shared" si="5"/>
        <v>0.36527611674725485</v>
      </c>
      <c r="Q64" s="293">
        <f t="shared" si="6"/>
        <v>-6.767186820606344E-2</v>
      </c>
      <c r="AB64" s="1024"/>
      <c r="AC64" s="1023"/>
      <c r="AD64" s="1023"/>
      <c r="AE64" s="1023"/>
    </row>
    <row r="65" spans="1:31" x14ac:dyDescent="0.2">
      <c r="B65" s="1043">
        <f t="shared" si="9"/>
        <v>6.199999999999994</v>
      </c>
      <c r="C65" s="123">
        <f t="shared" si="13"/>
        <v>0.40103676867840993</v>
      </c>
      <c r="D65" s="154">
        <f t="shared" si="14"/>
        <v>0.39965002244219738</v>
      </c>
      <c r="E65" s="293">
        <f t="shared" si="15"/>
        <v>-3.332190561735001E-2</v>
      </c>
      <c r="I65" s="353">
        <f t="shared" si="17"/>
        <v>0.350477421817047</v>
      </c>
      <c r="J65" s="1023">
        <f t="shared" si="18"/>
        <v>0.3492655048968506</v>
      </c>
      <c r="K65" s="351">
        <f t="shared" si="19"/>
        <v>-2.9120959679796391E-2</v>
      </c>
      <c r="L65" s="216"/>
      <c r="N65" s="1043">
        <f t="shared" si="10"/>
        <v>6.199999999999994</v>
      </c>
      <c r="O65" s="123">
        <f t="shared" si="16"/>
        <v>0.38164909452308621</v>
      </c>
      <c r="P65" s="154">
        <f t="shared" si="5"/>
        <v>0.38032938898304824</v>
      </c>
      <c r="Q65" s="293">
        <f t="shared" si="6"/>
        <v>-3.1710995349763835E-2</v>
      </c>
      <c r="AB65" s="1024"/>
      <c r="AC65" s="1023"/>
      <c r="AD65" s="1023"/>
      <c r="AE65" s="1023"/>
    </row>
    <row r="66" spans="1:31" ht="13.5" thickBot="1" x14ac:dyDescent="0.25">
      <c r="B66" s="1043">
        <f t="shared" si="9"/>
        <v>6.2999999999999936</v>
      </c>
      <c r="C66" s="123">
        <f t="shared" si="13"/>
        <v>0.39010742338548776</v>
      </c>
      <c r="D66" s="154">
        <f t="shared" si="14"/>
        <v>0.39005227638926143</v>
      </c>
      <c r="E66" s="293">
        <f t="shared" si="15"/>
        <v>6.5592273950072456E-3</v>
      </c>
      <c r="I66" s="354">
        <f t="shared" si="17"/>
        <v>0.3500194921295961</v>
      </c>
      <c r="J66" s="1063">
        <f t="shared" si="18"/>
        <v>0.34997001210831347</v>
      </c>
      <c r="K66" s="355">
        <f t="shared" si="19"/>
        <v>5.8851929082474799E-3</v>
      </c>
      <c r="L66" s="216"/>
      <c r="N66" s="1043">
        <f t="shared" si="10"/>
        <v>6.2999999999999936</v>
      </c>
      <c r="O66" s="123">
        <f t="shared" si="16"/>
        <v>0.3940993671217215</v>
      </c>
      <c r="P66" s="154">
        <f t="shared" si="5"/>
        <v>0.39404365580989142</v>
      </c>
      <c r="Q66" s="293">
        <f t="shared" si="6"/>
        <v>6.6263475397273786E-3</v>
      </c>
      <c r="AB66" s="1024"/>
      <c r="AC66" s="1023"/>
      <c r="AD66" s="1023"/>
      <c r="AE66" s="1023"/>
    </row>
    <row r="67" spans="1:31" x14ac:dyDescent="0.2">
      <c r="B67" s="1043">
        <f t="shared" si="9"/>
        <v>6.3999999999999932</v>
      </c>
      <c r="C67" s="123">
        <f t="shared" ref="C67:C98" si="20">$G$12*(1-$G$13^2)/(1+$G$13*COS($G$11*B67))</f>
        <v>0.38068861514360602</v>
      </c>
      <c r="D67" s="284">
        <f>C67*COS(B67)</f>
        <v>0.37809419130357153</v>
      </c>
      <c r="E67" s="293">
        <f>C67*SIN(B67)</f>
        <v>4.4368955390620191E-2</v>
      </c>
      <c r="L67" s="216"/>
      <c r="N67" s="1043">
        <f t="shared" si="10"/>
        <v>6.3999999999999932</v>
      </c>
      <c r="O67" s="123">
        <f>$G$12*(1-$G$13^2)/(1+$G$13*COS($H$11*N67))</f>
        <v>0.40907215454723578</v>
      </c>
      <c r="P67" s="284">
        <f>O67*COS(N67)</f>
        <v>0.40628429458023552</v>
      </c>
      <c r="Q67" s="293">
        <f>O67*SIN(N67)</f>
        <v>4.767703433895569E-2</v>
      </c>
      <c r="AB67" s="1024"/>
      <c r="AC67" s="1023"/>
      <c r="AD67" s="1023"/>
      <c r="AE67" s="1023"/>
    </row>
    <row r="68" spans="1:31" x14ac:dyDescent="0.2">
      <c r="B68" s="1043">
        <f t="shared" si="9"/>
        <v>6.4999999999999929</v>
      </c>
      <c r="C68" s="123">
        <f t="shared" si="20"/>
        <v>0.3726736366339084</v>
      </c>
      <c r="D68" s="284">
        <f t="shared" ref="D68:D86" si="21">C68*COS(B68)</f>
        <v>0.36394846197173736</v>
      </c>
      <c r="E68" s="293">
        <f t="shared" ref="E68:E86" si="22">C68*SIN(B68)</f>
        <v>8.0169548273326674E-2</v>
      </c>
      <c r="L68" s="216"/>
      <c r="N68" s="1043">
        <f t="shared" si="10"/>
        <v>6.4999999999999929</v>
      </c>
      <c r="O68" s="123">
        <f t="shared" ref="O68:O130" si="23">$G$12*(1-$G$13^2)/(1+$G$13*COS($H$11*N68))</f>
        <v>0.42684916345837021</v>
      </c>
      <c r="P68" s="284">
        <f t="shared" ref="P68:P130" si="24">O68*COS(N68)</f>
        <v>0.41685561108580343</v>
      </c>
      <c r="Q68" s="293">
        <f t="shared" ref="Q68:Q130" si="25">O68*SIN(N68)</f>
        <v>9.1823786958455653E-2</v>
      </c>
      <c r="AB68" s="1024"/>
      <c r="AC68" s="1023"/>
      <c r="AD68" s="1023"/>
      <c r="AE68" s="1023"/>
    </row>
    <row r="69" spans="1:31" x14ac:dyDescent="0.2">
      <c r="B69" s="1043">
        <f t="shared" si="9"/>
        <v>6.5999999999999925</v>
      </c>
      <c r="C69" s="123">
        <f t="shared" si="20"/>
        <v>0.36597302048831598</v>
      </c>
      <c r="D69" s="284">
        <f t="shared" si="21"/>
        <v>0.34775949184550536</v>
      </c>
      <c r="E69" s="293">
        <f t="shared" si="22"/>
        <v>0.11401573381203685</v>
      </c>
      <c r="L69" s="216"/>
      <c r="N69" s="1043">
        <f t="shared" si="10"/>
        <v>6.5999999999999925</v>
      </c>
      <c r="O69" s="123">
        <f t="shared" si="23"/>
        <v>0.4477716532821393</v>
      </c>
      <c r="P69" s="284">
        <f t="shared" si="24"/>
        <v>0.42548721870384426</v>
      </c>
      <c r="Q69" s="293">
        <f t="shared" si="25"/>
        <v>0.13949939140615411</v>
      </c>
      <c r="AB69" s="1024"/>
      <c r="AC69" s="1023"/>
      <c r="AD69" s="1023"/>
      <c r="AE69" s="1023"/>
    </row>
    <row r="70" spans="1:31" x14ac:dyDescent="0.2">
      <c r="B70" s="1043">
        <f t="shared" ref="B70:B133" si="26">B69+0.1</f>
        <v>6.6999999999999922</v>
      </c>
      <c r="C70" s="123">
        <f t="shared" si="20"/>
        <v>0.36051297786048386</v>
      </c>
      <c r="D70" s="284">
        <f t="shared" si="21"/>
        <v>0.32964699167576039</v>
      </c>
      <c r="E70" s="293">
        <f t="shared" si="22"/>
        <v>0.14595365046806774</v>
      </c>
      <c r="L70" s="216"/>
      <c r="N70" s="1043">
        <f t="shared" ref="N70:N130" si="27">N69+0.1</f>
        <v>6.6999999999999922</v>
      </c>
      <c r="O70" s="123">
        <f t="shared" si="23"/>
        <v>0.47224879601539316</v>
      </c>
      <c r="P70" s="284">
        <f t="shared" si="24"/>
        <v>0.43181634085089587</v>
      </c>
      <c r="Q70" s="293">
        <f t="shared" si="25"/>
        <v>0.19118988757811262</v>
      </c>
      <c r="AB70" s="1024"/>
      <c r="AC70" s="1023"/>
      <c r="AD70" s="1023"/>
      <c r="AE70" s="1023"/>
    </row>
    <row r="71" spans="1:31" x14ac:dyDescent="0.2">
      <c r="B71" s="1043">
        <f t="shared" si="26"/>
        <v>6.7999999999999918</v>
      </c>
      <c r="C71" s="123">
        <f t="shared" si="20"/>
        <v>0.35623409566761122</v>
      </c>
      <c r="D71" s="284">
        <f t="shared" si="21"/>
        <v>0.30970902875046213</v>
      </c>
      <c r="E71" s="293">
        <f t="shared" si="22"/>
        <v>0.17602002280015244</v>
      </c>
      <c r="L71" s="216"/>
      <c r="N71" s="1043">
        <f t="shared" si="27"/>
        <v>6.7999999999999918</v>
      </c>
      <c r="O71" s="123">
        <f t="shared" si="23"/>
        <v>0.50076651606165623</v>
      </c>
      <c r="P71" s="284">
        <f t="shared" si="24"/>
        <v>0.43536515231523132</v>
      </c>
      <c r="Q71" s="293">
        <f t="shared" si="25"/>
        <v>0.24743542138922714</v>
      </c>
      <c r="AB71" s="1024"/>
      <c r="AC71" s="1023"/>
      <c r="AD71" s="1023"/>
      <c r="AE71" s="1023"/>
    </row>
    <row r="72" spans="1:31" x14ac:dyDescent="0.2">
      <c r="B72" s="1043">
        <f t="shared" si="26"/>
        <v>6.8999999999999915</v>
      </c>
      <c r="C72" s="123">
        <f t="shared" si="20"/>
        <v>0.35309028033628209</v>
      </c>
      <c r="D72" s="284">
        <f t="shared" si="21"/>
        <v>0.28802460428060583</v>
      </c>
      <c r="E72" s="293">
        <f t="shared" si="22"/>
        <v>0.20424145856547998</v>
      </c>
      <c r="L72" s="216"/>
      <c r="N72" s="1043">
        <f t="shared" si="27"/>
        <v>6.8999999999999915</v>
      </c>
      <c r="O72" s="123">
        <f t="shared" si="23"/>
        <v>0.5338958595629093</v>
      </c>
      <c r="P72" s="284">
        <f t="shared" si="24"/>
        <v>0.43551225349847039</v>
      </c>
      <c r="Q72" s="293">
        <f t="shared" si="25"/>
        <v>0.308826595213401</v>
      </c>
      <c r="AB72" s="1024"/>
      <c r="AC72" s="1023"/>
      <c r="AD72" s="1023"/>
      <c r="AE72" s="1023"/>
    </row>
    <row r="73" spans="1:31" x14ac:dyDescent="0.2">
      <c r="B73" s="1043">
        <f t="shared" si="26"/>
        <v>6.9999999999999911</v>
      </c>
      <c r="C73" s="123">
        <f t="shared" si="20"/>
        <v>0.35104793514089194</v>
      </c>
      <c r="D73" s="284">
        <f t="shared" si="21"/>
        <v>0.26465582968528267</v>
      </c>
      <c r="E73" s="293">
        <f t="shared" si="22"/>
        <v>0.23063378889546632</v>
      </c>
      <c r="L73" s="216"/>
      <c r="N73" s="1043">
        <f t="shared" si="27"/>
        <v>6.9999999999999911</v>
      </c>
      <c r="O73" s="123">
        <f t="shared" si="23"/>
        <v>0.57229907988682405</v>
      </c>
      <c r="P73" s="284">
        <f t="shared" si="24"/>
        <v>0.431457566485279</v>
      </c>
      <c r="Q73" s="293">
        <f t="shared" si="25"/>
        <v>0.37599282594473327</v>
      </c>
      <c r="AB73" s="740"/>
      <c r="AC73" s="1023"/>
      <c r="AD73" s="1023"/>
      <c r="AE73" s="1023"/>
    </row>
    <row r="74" spans="1:31" x14ac:dyDescent="0.2">
      <c r="A74" s="519" t="s">
        <v>87</v>
      </c>
      <c r="B74" s="1045">
        <f t="shared" si="26"/>
        <v>7.0999999999999908</v>
      </c>
      <c r="C74" s="290">
        <f t="shared" si="20"/>
        <v>0.35008535938041846</v>
      </c>
      <c r="D74" s="424">
        <f t="shared" si="21"/>
        <v>0.23964976573429964</v>
      </c>
      <c r="E74" s="294">
        <f t="shared" si="22"/>
        <v>0.25520138838966383</v>
      </c>
      <c r="L74" s="216"/>
      <c r="N74" s="1043">
        <f t="shared" si="27"/>
        <v>7.0999999999999908</v>
      </c>
      <c r="O74" s="123">
        <f t="shared" si="23"/>
        <v>0.61673018690499115</v>
      </c>
      <c r="P74" s="284">
        <f t="shared" si="24"/>
        <v>0.42218059354046472</v>
      </c>
      <c r="Q74" s="293">
        <f t="shared" si="25"/>
        <v>0.44957721236477971</v>
      </c>
      <c r="AB74" s="1024"/>
      <c r="AC74" s="1023"/>
      <c r="AD74" s="1023"/>
      <c r="AE74" s="1023"/>
    </row>
    <row r="75" spans="1:31" x14ac:dyDescent="0.2">
      <c r="B75" s="1043">
        <f t="shared" si="26"/>
        <v>7.1999999999999904</v>
      </c>
      <c r="C75" s="123">
        <f t="shared" si="20"/>
        <v>0.3501923599459294</v>
      </c>
      <c r="D75" s="284">
        <f t="shared" si="21"/>
        <v>0.21303998251226131</v>
      </c>
      <c r="E75" s="293">
        <f t="shared" si="22"/>
        <v>0.27793642225457743</v>
      </c>
      <c r="L75" s="216"/>
      <c r="N75" s="1043">
        <f t="shared" si="27"/>
        <v>7.1999999999999904</v>
      </c>
      <c r="O75" s="123">
        <f t="shared" si="23"/>
        <v>0.66802439339724728</v>
      </c>
      <c r="P75" s="284">
        <f t="shared" si="24"/>
        <v>0.40639351786283251</v>
      </c>
      <c r="Q75" s="293">
        <f t="shared" si="25"/>
        <v>0.53018949330671561</v>
      </c>
      <c r="AB75" s="1024"/>
      <c r="AC75" s="1023"/>
      <c r="AD75" s="1023"/>
      <c r="AE75" s="1023"/>
    </row>
    <row r="76" spans="1:31" x14ac:dyDescent="0.2">
      <c r="B76" s="1043">
        <f t="shared" si="26"/>
        <v>7.2999999999999901</v>
      </c>
      <c r="C76" s="123">
        <f t="shared" si="20"/>
        <v>0.35137006880709215</v>
      </c>
      <c r="D76" s="284">
        <f t="shared" si="21"/>
        <v>0.18484789348006611</v>
      </c>
      <c r="E76" s="293">
        <f t="shared" si="22"/>
        <v>0.29881797390632781</v>
      </c>
      <c r="L76" s="216"/>
      <c r="N76" s="1043">
        <f t="shared" si="27"/>
        <v>7.2999999999999901</v>
      </c>
      <c r="O76" s="123">
        <f t="shared" si="23"/>
        <v>0.72706733776949728</v>
      </c>
      <c r="P76" s="284">
        <f t="shared" si="24"/>
        <v>0.3824937800226727</v>
      </c>
      <c r="Q76" s="293">
        <f t="shared" si="25"/>
        <v>0.61832468970209453</v>
      </c>
      <c r="AB76" s="1024"/>
      <c r="AC76" s="1023"/>
      <c r="AD76" s="1023"/>
      <c r="AE76" s="1023"/>
    </row>
    <row r="77" spans="1:31" x14ac:dyDescent="0.2">
      <c r="B77" s="1043">
        <f t="shared" si="26"/>
        <v>7.3999999999999897</v>
      </c>
      <c r="C77" s="123">
        <f t="shared" si="20"/>
        <v>0.3536309632821858</v>
      </c>
      <c r="D77" s="284">
        <f t="shared" si="21"/>
        <v>0.15508391389496332</v>
      </c>
      <c r="E77" s="293">
        <f t="shared" si="22"/>
        <v>0.31781100963136288</v>
      </c>
      <c r="L77" s="216"/>
      <c r="N77" s="1043">
        <f t="shared" si="27"/>
        <v>7.3999999999999897</v>
      </c>
      <c r="O77" s="123">
        <f t="shared" si="23"/>
        <v>0.79472986305848048</v>
      </c>
      <c r="P77" s="284">
        <f t="shared" si="24"/>
        <v>0.34852665758786544</v>
      </c>
      <c r="Q77" s="293">
        <f t="shared" si="25"/>
        <v>0.7142301619139183</v>
      </c>
      <c r="AB77" s="1024"/>
      <c r="AC77" s="1023"/>
      <c r="AD77" s="1023"/>
      <c r="AE77" s="1023"/>
    </row>
    <row r="78" spans="1:31" x14ac:dyDescent="0.2">
      <c r="B78" s="1043">
        <f t="shared" si="26"/>
        <v>7.4999999999999893</v>
      </c>
      <c r="C78" s="123">
        <f t="shared" si="20"/>
        <v>0.3569990894427727</v>
      </c>
      <c r="D78" s="284">
        <f t="shared" si="21"/>
        <v>0.12374849283581389</v>
      </c>
      <c r="E78" s="293">
        <f t="shared" si="22"/>
        <v>0.3348651376059224</v>
      </c>
      <c r="L78" s="216"/>
      <c r="N78" s="1043">
        <f t="shared" si="27"/>
        <v>7.4999999999999893</v>
      </c>
      <c r="O78" s="123">
        <f t="shared" si="23"/>
        <v>0.8717476221246343</v>
      </c>
      <c r="P78" s="284">
        <f t="shared" si="24"/>
        <v>0.30217851406710933</v>
      </c>
      <c r="Q78" s="293">
        <f t="shared" si="25"/>
        <v>0.81769924930633753</v>
      </c>
      <c r="AB78" s="1024"/>
      <c r="AC78" s="1023"/>
      <c r="AD78" s="1023"/>
      <c r="AE78" s="1023"/>
    </row>
    <row r="79" spans="1:31" x14ac:dyDescent="0.2">
      <c r="B79" s="1043">
        <f t="shared" si="26"/>
        <v>7.599999999999989</v>
      </c>
      <c r="C79" s="123">
        <f t="shared" si="20"/>
        <v>0.36151049247472145</v>
      </c>
      <c r="D79" s="284">
        <f t="shared" si="21"/>
        <v>9.0833069431035973E-2</v>
      </c>
      <c r="E79" s="293">
        <f t="shared" si="22"/>
        <v>0.34991311731207253</v>
      </c>
      <c r="L79" s="216"/>
      <c r="N79" s="1043">
        <f t="shared" si="27"/>
        <v>7.599999999999989</v>
      </c>
      <c r="O79" s="123">
        <f t="shared" si="23"/>
        <v>0.95851833548873044</v>
      </c>
      <c r="P79" s="284">
        <f t="shared" si="24"/>
        <v>0.24083716608711406</v>
      </c>
      <c r="Q79" s="293">
        <f t="shared" si="25"/>
        <v>0.92776875292241556</v>
      </c>
      <c r="AB79" s="1024"/>
      <c r="AC79" s="1023"/>
      <c r="AD79" s="1023"/>
      <c r="AE79" s="1023"/>
    </row>
    <row r="80" spans="1:31" x14ac:dyDescent="0.2">
      <c r="B80" s="1043">
        <f t="shared" si="26"/>
        <v>7.6999999999999886</v>
      </c>
      <c r="C80" s="123">
        <f t="shared" si="20"/>
        <v>0.36721386110042786</v>
      </c>
      <c r="D80" s="284">
        <f t="shared" si="21"/>
        <v>5.6321008070812695E-2</v>
      </c>
      <c r="E80" s="293">
        <f t="shared" si="22"/>
        <v>0.36286907257876327</v>
      </c>
      <c r="L80" s="216"/>
      <c r="N80" s="1043">
        <f t="shared" si="27"/>
        <v>7.6999999999999886</v>
      </c>
      <c r="O80" s="123">
        <f t="shared" si="23"/>
        <v>1.0547877301985806</v>
      </c>
      <c r="P80" s="284">
        <f t="shared" si="24"/>
        <v>0.16177686781072123</v>
      </c>
      <c r="Q80" s="293">
        <f t="shared" si="25"/>
        <v>1.0423077284654596</v>
      </c>
      <c r="AB80" s="1024"/>
      <c r="AC80" s="1023"/>
      <c r="AD80" s="1023"/>
      <c r="AE80" s="1023"/>
    </row>
    <row r="81" spans="1:31" x14ac:dyDescent="0.2">
      <c r="B81" s="1043">
        <f t="shared" si="26"/>
        <v>7.7999999999999883</v>
      </c>
      <c r="C81" s="123">
        <f t="shared" si="20"/>
        <v>0.37417139603792465</v>
      </c>
      <c r="D81" s="284">
        <f t="shared" si="21"/>
        <v>2.0188575035744317E-2</v>
      </c>
      <c r="E81" s="293">
        <f t="shared" si="22"/>
        <v>0.37362635754319523</v>
      </c>
      <c r="L81" s="216"/>
      <c r="N81" s="1043">
        <f t="shared" si="27"/>
        <v>7.7999999999999883</v>
      </c>
      <c r="O81" s="123">
        <f t="shared" si="23"/>
        <v>1.159208280811213</v>
      </c>
      <c r="P81" s="284">
        <f t="shared" si="24"/>
        <v>6.254557031088856E-2</v>
      </c>
      <c r="Q81" s="293">
        <f t="shared" si="25"/>
        <v>1.1575197147071723</v>
      </c>
      <c r="AB81" s="1024"/>
      <c r="AC81" s="1023"/>
      <c r="AD81" s="1023"/>
      <c r="AE81" s="1023"/>
    </row>
    <row r="82" spans="1:31" x14ac:dyDescent="0.2">
      <c r="B82" s="1043">
        <f t="shared" si="26"/>
        <v>7.8999999999999879</v>
      </c>
      <c r="C82" s="123">
        <f t="shared" si="20"/>
        <v>0.38245991459444401</v>
      </c>
      <c r="D82" s="284">
        <f t="shared" si="21"/>
        <v>-1.7593969043255435E-2</v>
      </c>
      <c r="E82" s="293">
        <f t="shared" si="22"/>
        <v>0.38205502028489868</v>
      </c>
      <c r="L82" s="216"/>
      <c r="N82" s="1043">
        <f t="shared" si="27"/>
        <v>7.8999999999999879</v>
      </c>
      <c r="O82" s="123">
        <f t="shared" si="23"/>
        <v>1.2688003217286499</v>
      </c>
      <c r="P82" s="284">
        <f t="shared" si="24"/>
        <v>-5.8367511811630496E-2</v>
      </c>
      <c r="Q82" s="293">
        <f t="shared" si="25"/>
        <v>1.2674570959143527</v>
      </c>
      <c r="AB82" s="1024"/>
      <c r="AC82" s="1023"/>
      <c r="AD82" s="1023"/>
      <c r="AE82" s="1023"/>
    </row>
    <row r="83" spans="1:31" x14ac:dyDescent="0.2">
      <c r="B83" s="1043">
        <f t="shared" si="26"/>
        <v>7.9999999999999876</v>
      </c>
      <c r="C83" s="123">
        <f t="shared" si="20"/>
        <v>0.39217220433940003</v>
      </c>
      <c r="D83" s="284">
        <f t="shared" si="21"/>
        <v>-5.7061068990176371E-2</v>
      </c>
      <c r="E83" s="293">
        <f t="shared" si="22"/>
        <v>0.38799880445965612</v>
      </c>
      <c r="L83" s="216"/>
      <c r="N83" s="1043">
        <f t="shared" si="27"/>
        <v>7.9999999999999876</v>
      </c>
      <c r="O83" s="123">
        <f t="shared" si="23"/>
        <v>1.3784419109240853</v>
      </c>
      <c r="P83" s="284">
        <f t="shared" si="24"/>
        <v>-0.20056334464264727</v>
      </c>
      <c r="Q83" s="293">
        <f t="shared" si="25"/>
        <v>1.3637728720640394</v>
      </c>
      <c r="AB83" s="740"/>
      <c r="AC83" s="1023"/>
      <c r="AD83" s="1023"/>
      <c r="AE83" s="1023"/>
    </row>
    <row r="84" spans="1:31" x14ac:dyDescent="0.2">
      <c r="B84" s="1043">
        <f t="shared" si="26"/>
        <v>8.0999999999999872</v>
      </c>
      <c r="C84" s="123">
        <f t="shared" si="20"/>
        <v>0.40341863755208779</v>
      </c>
      <c r="D84" s="284">
        <f t="shared" si="21"/>
        <v>-9.8250250683864199E-2</v>
      </c>
      <c r="E84" s="293">
        <f t="shared" si="22"/>
        <v>0.39127162606677812</v>
      </c>
      <c r="L84" s="216"/>
      <c r="N84" s="1043">
        <f t="shared" si="27"/>
        <v>8.0999999999999872</v>
      </c>
      <c r="O84" s="123">
        <f t="shared" si="23"/>
        <v>1.480658167477815</v>
      </c>
      <c r="P84" s="284">
        <f t="shared" si="24"/>
        <v>-0.36060564037035386</v>
      </c>
      <c r="Q84" s="293">
        <f t="shared" si="25"/>
        <v>1.4360752699812946</v>
      </c>
      <c r="AB84" s="1024"/>
      <c r="AC84" s="1023"/>
      <c r="AD84" s="1023"/>
      <c r="AE84" s="1023"/>
    </row>
    <row r="85" spans="1:31" x14ac:dyDescent="0.2">
      <c r="B85" s="1043">
        <f t="shared" si="26"/>
        <v>8.1999999999999869</v>
      </c>
      <c r="C85" s="123">
        <f t="shared" si="20"/>
        <v>0.41632905351660465</v>
      </c>
      <c r="D85" s="284">
        <f t="shared" si="21"/>
        <v>-0.14120002226895059</v>
      </c>
      <c r="E85" s="293">
        <f t="shared" si="22"/>
        <v>0.39165346227664033</v>
      </c>
      <c r="L85" s="216"/>
      <c r="N85" s="1043">
        <f t="shared" si="27"/>
        <v>8.1999999999999869</v>
      </c>
      <c r="O85" s="123">
        <f t="shared" si="23"/>
        <v>1.5660986899145932</v>
      </c>
      <c r="P85" s="284">
        <f t="shared" si="24"/>
        <v>-0.53114998346493092</v>
      </c>
      <c r="Q85" s="293">
        <f t="shared" si="25"/>
        <v>1.4732768923788253</v>
      </c>
      <c r="AB85" s="1024"/>
      <c r="AC85" s="1023"/>
      <c r="AD85" s="1023"/>
      <c r="AE85" s="1023"/>
    </row>
    <row r="86" spans="1:31" x14ac:dyDescent="0.2">
      <c r="B86" s="1043">
        <f t="shared" si="26"/>
        <v>8.2999999999999865</v>
      </c>
      <c r="C86" s="123">
        <f t="shared" si="20"/>
        <v>0.43105490578454297</v>
      </c>
      <c r="D86" s="284">
        <f t="shared" si="21"/>
        <v>-0.18594710526643884</v>
      </c>
      <c r="E86" s="293">
        <f t="shared" si="22"/>
        <v>0.38888559480129004</v>
      </c>
      <c r="L86" s="216"/>
      <c r="N86" s="1043">
        <f t="shared" si="27"/>
        <v>8.2999999999999865</v>
      </c>
      <c r="O86" s="123">
        <f t="shared" si="23"/>
        <v>1.625010684774074</v>
      </c>
      <c r="P86" s="284">
        <f t="shared" si="24"/>
        <v>-0.70099198224136727</v>
      </c>
      <c r="Q86" s="293">
        <f t="shared" si="25"/>
        <v>1.4660388693562063</v>
      </c>
      <c r="AB86" s="1024"/>
      <c r="AC86" s="1023"/>
      <c r="AD86" s="1023"/>
      <c r="AE86" s="1023"/>
    </row>
    <row r="87" spans="1:31" x14ac:dyDescent="0.2">
      <c r="B87" s="1043">
        <f t="shared" si="26"/>
        <v>8.3999999999999861</v>
      </c>
      <c r="C87" s="123">
        <f t="shared" si="20"/>
        <v>0.44777165328213842</v>
      </c>
      <c r="D87" s="284">
        <f t="shared" ref="D87:D96" si="28">C87*COS(B87)</f>
        <v>-0.23252273918447941</v>
      </c>
      <c r="E87" s="293">
        <f t="shared" ref="E87:E96" si="29">C87*SIN(B87)</f>
        <v>0.38266516596780292</v>
      </c>
      <c r="L87" s="216"/>
      <c r="M87" s="1069" t="s">
        <v>91</v>
      </c>
      <c r="N87" s="1065">
        <f t="shared" si="27"/>
        <v>8.3999999999999861</v>
      </c>
      <c r="O87" s="1066">
        <f t="shared" si="23"/>
        <v>1.6495688246563252</v>
      </c>
      <c r="P87" s="1070">
        <f t="shared" si="24"/>
        <v>-0.85660237482860602</v>
      </c>
      <c r="Q87" s="1068">
        <f t="shared" si="25"/>
        <v>1.4097197163677759</v>
      </c>
      <c r="AB87" s="1024"/>
      <c r="AC87" s="1023"/>
      <c r="AD87" s="1023"/>
      <c r="AE87" s="1023"/>
    </row>
    <row r="88" spans="1:31" x14ac:dyDescent="0.2">
      <c r="B88" s="1043">
        <f t="shared" si="26"/>
        <v>8.4999999999999858</v>
      </c>
      <c r="C88" s="123">
        <f t="shared" si="20"/>
        <v>0.46668134316907001</v>
      </c>
      <c r="D88" s="284">
        <f t="shared" si="28"/>
        <v>-0.28094772334871565</v>
      </c>
      <c r="E88" s="293">
        <f t="shared" si="29"/>
        <v>0.37263903822232691</v>
      </c>
      <c r="L88" s="216"/>
      <c r="N88" s="1043">
        <f t="shared" si="27"/>
        <v>8.4999999999999858</v>
      </c>
      <c r="O88" s="123">
        <f t="shared" si="23"/>
        <v>1.6362340081426974</v>
      </c>
      <c r="P88" s="284">
        <f t="shared" si="24"/>
        <v>-0.98503234847958188</v>
      </c>
      <c r="Q88" s="293">
        <f t="shared" si="25"/>
        <v>1.3065117687382368</v>
      </c>
      <c r="AB88" s="1024"/>
      <c r="AC88" s="1023"/>
      <c r="AD88" s="1023"/>
      <c r="AE88" s="1023"/>
    </row>
    <row r="89" spans="1:31" x14ac:dyDescent="0.2">
      <c r="B89" s="1043">
        <f t="shared" si="26"/>
        <v>8.5999999999999854</v>
      </c>
      <c r="C89" s="123">
        <f t="shared" si="20"/>
        <v>0.48801528311218589</v>
      </c>
      <c r="D89" s="284">
        <f t="shared" si="28"/>
        <v>-0.331225756046787</v>
      </c>
      <c r="E89" s="293">
        <f t="shared" si="29"/>
        <v>0.35839700763580784</v>
      </c>
      <c r="L89" s="216"/>
      <c r="N89" s="1043">
        <f t="shared" si="27"/>
        <v>8.5999999999999854</v>
      </c>
      <c r="O89" s="123">
        <f t="shared" si="23"/>
        <v>1.5869485040357849</v>
      </c>
      <c r="P89" s="284">
        <f t="shared" si="24"/>
        <v>-1.0770937637535742</v>
      </c>
      <c r="Q89" s="293">
        <f t="shared" si="25"/>
        <v>1.1654503758395613</v>
      </c>
      <c r="AB89" s="1024"/>
      <c r="AC89" s="1023"/>
      <c r="AD89" s="1023"/>
      <c r="AE89" s="1023"/>
    </row>
    <row r="90" spans="1:31" x14ac:dyDescent="0.2">
      <c r="B90" s="1043">
        <f t="shared" si="26"/>
        <v>8.6999999999999851</v>
      </c>
      <c r="C90" s="123">
        <f t="shared" si="20"/>
        <v>0.51203662159387231</v>
      </c>
      <c r="D90" s="284">
        <f t="shared" si="28"/>
        <v>-0.3833344991792722</v>
      </c>
      <c r="E90" s="293">
        <f t="shared" si="29"/>
        <v>0.33946452479197725</v>
      </c>
      <c r="L90" s="216"/>
      <c r="N90" s="1043">
        <f t="shared" si="27"/>
        <v>8.6999999999999851</v>
      </c>
      <c r="O90" s="123">
        <f t="shared" si="23"/>
        <v>1.5084705649686736</v>
      </c>
      <c r="P90" s="284">
        <f t="shared" si="24"/>
        <v>-1.129311428446196</v>
      </c>
      <c r="Q90" s="293">
        <f t="shared" si="25"/>
        <v>1.0000695690589336</v>
      </c>
      <c r="AB90" s="1024"/>
      <c r="AC90" s="1023"/>
      <c r="AD90" s="1023"/>
      <c r="AE90" s="1023"/>
    </row>
    <row r="91" spans="1:31" x14ac:dyDescent="0.2">
      <c r="B91" s="1043">
        <f t="shared" si="26"/>
        <v>8.7999999999999847</v>
      </c>
      <c r="C91" s="123">
        <f t="shared" si="20"/>
        <v>0.53904253344793029</v>
      </c>
      <c r="D91" s="284">
        <f t="shared" si="28"/>
        <v>-0.43721363316170775</v>
      </c>
      <c r="E91" s="293">
        <f t="shared" si="29"/>
        <v>0.31529524551363397</v>
      </c>
      <c r="L91" s="216"/>
      <c r="N91" s="1043">
        <f t="shared" si="27"/>
        <v>8.7999999999999847</v>
      </c>
      <c r="O91" s="123">
        <f t="shared" si="23"/>
        <v>1.4102432035526202</v>
      </c>
      <c r="P91" s="284">
        <f t="shared" si="24"/>
        <v>-1.143838410529447</v>
      </c>
      <c r="Q91" s="293">
        <f t="shared" si="25"/>
        <v>0.82487549591670228</v>
      </c>
      <c r="AB91" s="1024"/>
      <c r="AC91" s="1023"/>
      <c r="AD91" s="1023"/>
      <c r="AE91" s="1023"/>
    </row>
    <row r="92" spans="1:31" x14ac:dyDescent="0.2">
      <c r="B92" s="1043">
        <f t="shared" si="26"/>
        <v>8.8999999999999844</v>
      </c>
      <c r="C92" s="123">
        <f t="shared" si="20"/>
        <v>0.56936552515125216</v>
      </c>
      <c r="D92" s="284">
        <f t="shared" si="28"/>
        <v>-0.49274897239394505</v>
      </c>
      <c r="E92" s="293">
        <f t="shared" si="29"/>
        <v>0.2852640030488815</v>
      </c>
      <c r="L92" s="216"/>
      <c r="N92" s="1043">
        <f t="shared" si="27"/>
        <v>8.8999999999999844</v>
      </c>
      <c r="O92" s="123">
        <f t="shared" si="23"/>
        <v>1.301939444618365</v>
      </c>
      <c r="P92" s="284">
        <f t="shared" si="24"/>
        <v>-1.1267442356725417</v>
      </c>
      <c r="Q92" s="293">
        <f t="shared" si="25"/>
        <v>0.65229881559901393</v>
      </c>
      <c r="AB92" s="1024"/>
      <c r="AC92" s="1023"/>
      <c r="AD92" s="1023"/>
      <c r="AE92" s="1023"/>
    </row>
    <row r="93" spans="1:31" x14ac:dyDescent="0.2">
      <c r="B93" s="1043">
        <f t="shared" si="26"/>
        <v>8.999999999999984</v>
      </c>
      <c r="C93" s="123">
        <f t="shared" si="20"/>
        <v>0.60337310534612587</v>
      </c>
      <c r="D93" s="284">
        <f t="shared" si="28"/>
        <v>-0.54975149548818247</v>
      </c>
      <c r="E93" s="293">
        <f t="shared" si="29"/>
        <v>0.24866121021086901</v>
      </c>
      <c r="L93" s="216"/>
      <c r="N93" s="1043">
        <f t="shared" si="27"/>
        <v>8.999999999999984</v>
      </c>
      <c r="O93" s="123">
        <f t="shared" si="23"/>
        <v>1.1916878339778818</v>
      </c>
      <c r="P93" s="284">
        <f t="shared" si="24"/>
        <v>-1.0857828482570431</v>
      </c>
      <c r="Q93" s="293">
        <f t="shared" si="25"/>
        <v>0.49111658502001188</v>
      </c>
      <c r="AB93" s="740"/>
      <c r="AC93" s="1023"/>
      <c r="AD93" s="1023"/>
      <c r="AE93" s="1023"/>
    </row>
    <row r="94" spans="1:31" x14ac:dyDescent="0.2">
      <c r="B94" s="1043">
        <f t="shared" si="26"/>
        <v>9.0999999999999837</v>
      </c>
      <c r="C94" s="123">
        <f t="shared" si="20"/>
        <v>0.6414646791304851</v>
      </c>
      <c r="D94" s="284">
        <f t="shared" si="28"/>
        <v>-0.60792993341605972</v>
      </c>
      <c r="E94" s="293">
        <f t="shared" si="29"/>
        <v>0.20469032861550016</v>
      </c>
      <c r="L94" s="216"/>
      <c r="N94" s="1043">
        <f t="shared" si="27"/>
        <v>9.0999999999999837</v>
      </c>
      <c r="O94" s="123">
        <f t="shared" si="23"/>
        <v>1.0853164472652383</v>
      </c>
      <c r="P94" s="284">
        <f t="shared" si="24"/>
        <v>-1.0285778422214527</v>
      </c>
      <c r="Q94" s="293">
        <f t="shared" si="25"/>
        <v>0.34632270095317097</v>
      </c>
      <c r="AB94" s="1024"/>
      <c r="AC94" s="1023"/>
      <c r="AD94" s="1023"/>
      <c r="AE94" s="1023"/>
    </row>
    <row r="95" spans="1:31" x14ac:dyDescent="0.2">
      <c r="B95" s="1043">
        <f t="shared" si="26"/>
        <v>9.1999999999999833</v>
      </c>
      <c r="C95" s="123">
        <f t="shared" si="20"/>
        <v>0.6840639846494152</v>
      </c>
      <c r="D95" s="284">
        <f t="shared" si="28"/>
        <v>-0.66685541206779564</v>
      </c>
      <c r="E95" s="293">
        <f t="shared" si="29"/>
        <v>0.15247096277759195</v>
      </c>
      <c r="L95" s="216"/>
      <c r="N95" s="1043">
        <f t="shared" si="27"/>
        <v>9.1999999999999833</v>
      </c>
      <c r="O95" s="123">
        <f t="shared" si="23"/>
        <v>0.98640025013837485</v>
      </c>
      <c r="P95" s="284">
        <f t="shared" si="24"/>
        <v>-0.96158599199886263</v>
      </c>
      <c r="Q95" s="293">
        <f t="shared" si="25"/>
        <v>0.21985866702182055</v>
      </c>
      <c r="AB95" s="1024"/>
      <c r="AC95" s="1023"/>
      <c r="AD95" s="1023"/>
      <c r="AE95" s="1023"/>
    </row>
    <row r="96" spans="1:31" x14ac:dyDescent="0.2">
      <c r="A96" s="344"/>
      <c r="B96" s="1044">
        <f t="shared" si="26"/>
        <v>9.2999999999999829</v>
      </c>
      <c r="C96" s="349">
        <f t="shared" si="20"/>
        <v>0.73160466734942409</v>
      </c>
      <c r="D96" s="1225">
        <f t="shared" si="28"/>
        <v>-0.72591667916342451</v>
      </c>
      <c r="E96" s="351">
        <f t="shared" si="29"/>
        <v>9.1051437110061126E-2</v>
      </c>
      <c r="L96" s="983"/>
      <c r="N96" s="1043">
        <f t="shared" si="27"/>
        <v>9.2999999999999829</v>
      </c>
      <c r="O96" s="123">
        <f t="shared" si="23"/>
        <v>0.89671694432670368</v>
      </c>
      <c r="P96" s="284">
        <f t="shared" si="24"/>
        <v>-0.88974526192342573</v>
      </c>
      <c r="Q96" s="293">
        <f t="shared" si="25"/>
        <v>0.11160039035520966</v>
      </c>
      <c r="AB96" s="1024"/>
      <c r="AC96" s="1023"/>
      <c r="AD96" s="1023"/>
      <c r="AE96" s="1023"/>
    </row>
    <row r="97" spans="1:31" x14ac:dyDescent="0.2">
      <c r="B97" s="1043">
        <f t="shared" si="26"/>
        <v>9.3999999999999826</v>
      </c>
      <c r="C97" s="123">
        <f t="shared" si="20"/>
        <v>0.78450567692819906</v>
      </c>
      <c r="D97" s="284">
        <f t="shared" ref="D97:D103" si="30">C97*COS(B97)</f>
        <v>-0.78426486666223982</v>
      </c>
      <c r="E97" s="293">
        <f t="shared" ref="E97:E103" si="31">C97*SIN(B97)</f>
        <v>1.9436461916484498E-2</v>
      </c>
      <c r="L97" s="216"/>
      <c r="N97" s="1043">
        <f t="shared" si="27"/>
        <v>9.3999999999999826</v>
      </c>
      <c r="O97" s="123">
        <f t="shared" si="23"/>
        <v>0.81679641584517826</v>
      </c>
      <c r="P97" s="284">
        <f t="shared" si="24"/>
        <v>-0.81654569367971941</v>
      </c>
      <c r="Q97" s="293">
        <f t="shared" si="25"/>
        <v>2.0236478711356528E-2</v>
      </c>
      <c r="AB97" s="1024"/>
      <c r="AC97" s="1023"/>
      <c r="AD97" s="1023"/>
      <c r="AE97" s="1023"/>
    </row>
    <row r="98" spans="1:31" x14ac:dyDescent="0.2">
      <c r="B98" s="1043">
        <f t="shared" si="26"/>
        <v>9.4999999999999822</v>
      </c>
      <c r="C98" s="123">
        <f t="shared" si="20"/>
        <v>0.84313213989004654</v>
      </c>
      <c r="D98" s="284">
        <f t="shared" si="30"/>
        <v>-0.84074789389262539</v>
      </c>
      <c r="E98" s="293">
        <f t="shared" si="31"/>
        <v>-6.3362325010085013E-2</v>
      </c>
      <c r="L98" s="216"/>
      <c r="N98" s="1043">
        <f t="shared" si="27"/>
        <v>9.4999999999999822</v>
      </c>
      <c r="O98" s="123">
        <f t="shared" si="23"/>
        <v>0.74639762459391157</v>
      </c>
      <c r="P98" s="284">
        <f t="shared" si="24"/>
        <v>-0.74428692869616686</v>
      </c>
      <c r="Q98" s="293">
        <f t="shared" si="25"/>
        <v>-5.6092617798252149E-2</v>
      </c>
      <c r="AB98" s="1024"/>
      <c r="AC98" s="1023"/>
      <c r="AD98" s="1023"/>
      <c r="AE98" s="1023"/>
    </row>
    <row r="99" spans="1:31" x14ac:dyDescent="0.2">
      <c r="B99" s="1043">
        <f t="shared" si="26"/>
        <v>9.5999999999999819</v>
      </c>
      <c r="C99" s="123">
        <f>$G$12*(1-$G$13^2)/(1+$G$13*COS($G$11*B99))</f>
        <v>0.90773642033805224</v>
      </c>
      <c r="D99" s="284">
        <f t="shared" si="30"/>
        <v>-0.89383702936891585</v>
      </c>
      <c r="E99" s="293">
        <f t="shared" si="31"/>
        <v>-0.15824276835638643</v>
      </c>
      <c r="L99" s="216"/>
      <c r="N99" s="1043">
        <f t="shared" si="27"/>
        <v>9.5999999999999819</v>
      </c>
      <c r="O99" s="123">
        <f t="shared" si="23"/>
        <v>0.6848603624596914</v>
      </c>
      <c r="P99" s="284">
        <f t="shared" si="24"/>
        <v>-0.67437368182882429</v>
      </c>
      <c r="Q99" s="293">
        <f t="shared" si="25"/>
        <v>-0.11938950257478917</v>
      </c>
      <c r="AB99" s="1024"/>
      <c r="AC99" s="1023"/>
      <c r="AD99" s="1023"/>
      <c r="AE99" s="1023"/>
    </row>
    <row r="100" spans="1:31" x14ac:dyDescent="0.2">
      <c r="B100" s="1043">
        <f t="shared" si="26"/>
        <v>9.6999999999999815</v>
      </c>
      <c r="C100" s="123">
        <f>$G$12*(1-$G$13^2)/(1+$G$13*COS($G$11*B100))</f>
        <v>0.97837372153138769</v>
      </c>
      <c r="D100" s="284">
        <f t="shared" si="30"/>
        <v>-0.94155250895167042</v>
      </c>
      <c r="E100" s="293">
        <f t="shared" si="31"/>
        <v>-0.26588345542735814</v>
      </c>
      <c r="L100" s="216"/>
      <c r="N100" s="1043">
        <f t="shared" si="27"/>
        <v>9.6999999999999815</v>
      </c>
      <c r="O100" s="123">
        <f t="shared" si="23"/>
        <v>0.63133848822596061</v>
      </c>
      <c r="P100" s="284">
        <f t="shared" si="24"/>
        <v>-0.60757798835446064</v>
      </c>
      <c r="Q100" s="293">
        <f t="shared" si="25"/>
        <v>-0.17157294303761367</v>
      </c>
      <c r="AB100" s="1024"/>
      <c r="AC100" s="1023"/>
      <c r="AD100" s="1023"/>
      <c r="AE100" s="1023"/>
    </row>
    <row r="101" spans="1:31" x14ac:dyDescent="0.2">
      <c r="B101" s="1043">
        <f t="shared" si="26"/>
        <v>9.7999999999999812</v>
      </c>
      <c r="C101" s="123">
        <f>$G$12*(1-$G$13^2)/(1+$G$13*COS($G$11*B101))</f>
        <v>1.054787730198576</v>
      </c>
      <c r="D101" s="284">
        <f t="shared" si="30"/>
        <v>-0.98140221567050279</v>
      </c>
      <c r="E101" s="293">
        <f t="shared" si="31"/>
        <v>-0.38655768890877296</v>
      </c>
      <c r="L101" s="216"/>
      <c r="N101" s="1043">
        <f t="shared" si="27"/>
        <v>9.7999999999999812</v>
      </c>
      <c r="O101" s="123">
        <f t="shared" si="23"/>
        <v>0.58494190847872407</v>
      </c>
      <c r="P101" s="284">
        <f t="shared" si="24"/>
        <v>-0.54424531930370312</v>
      </c>
      <c r="Q101" s="293">
        <f t="shared" si="25"/>
        <v>-0.21436900128223335</v>
      </c>
      <c r="AB101" s="1024"/>
      <c r="AC101" s="1023"/>
      <c r="AD101" s="1023"/>
      <c r="AE101" s="1023"/>
    </row>
    <row r="102" spans="1:31" x14ac:dyDescent="0.2">
      <c r="B102" s="1043">
        <f t="shared" si="26"/>
        <v>9.8999999999999808</v>
      </c>
      <c r="C102" s="123">
        <f>$G$12*(1-$G$13^2)/(1+$G$13*COS($G$11*B102))</f>
        <v>1.1362659722316193</v>
      </c>
      <c r="D102" s="284">
        <f t="shared" si="30"/>
        <v>-1.0103576495376201</v>
      </c>
      <c r="E102" s="293">
        <f t="shared" si="31"/>
        <v>-0.5198824671714587</v>
      </c>
      <c r="L102" s="216"/>
      <c r="N102" s="1043">
        <f t="shared" si="27"/>
        <v>9.8999999999999808</v>
      </c>
      <c r="O102" s="123">
        <f t="shared" si="23"/>
        <v>0.54481583590769012</v>
      </c>
      <c r="P102" s="284">
        <f t="shared" si="24"/>
        <v>-0.48444542109931332</v>
      </c>
      <c r="Q102" s="293">
        <f t="shared" si="25"/>
        <v>-0.24927280042496433</v>
      </c>
      <c r="AB102" s="1024"/>
      <c r="AC102" s="1023"/>
      <c r="AD102" s="1023"/>
      <c r="AE102" s="1023"/>
    </row>
    <row r="103" spans="1:31" x14ac:dyDescent="0.2">
      <c r="B103" s="1043">
        <f t="shared" si="26"/>
        <v>9.9999999999999805</v>
      </c>
      <c r="C103" s="123">
        <f>$G$12*(1-$G$13^2)/(1+$G$13*COS($G$11*B103))</f>
        <v>1.2214737215836409</v>
      </c>
      <c r="D103" s="284">
        <f t="shared" si="30"/>
        <v>-1.0249038232959036</v>
      </c>
      <c r="E103" s="293">
        <f t="shared" si="31"/>
        <v>-0.66450749093808514</v>
      </c>
      <c r="L103" s="216"/>
      <c r="N103" s="1043">
        <f t="shared" si="27"/>
        <v>9.9999999999999805</v>
      </c>
      <c r="O103" s="123">
        <f t="shared" si="23"/>
        <v>0.51018012021259207</v>
      </c>
      <c r="P103" s="284">
        <f t="shared" si="24"/>
        <v>-0.42807761357119339</v>
      </c>
      <c r="Q103" s="293">
        <f t="shared" si="25"/>
        <v>-0.27754875575171822</v>
      </c>
      <c r="AB103" s="740"/>
      <c r="AC103" s="1023"/>
      <c r="AD103" s="1023"/>
      <c r="AE103" s="1023"/>
    </row>
    <row r="104" spans="1:31" x14ac:dyDescent="0.2">
      <c r="B104" s="1043">
        <f t="shared" si="26"/>
        <v>10.09999999999998</v>
      </c>
      <c r="C104" s="123">
        <f t="shared" ref="C104:C119" si="32">$G$12*(1-$G$13^2)/(1+$G$13*COS($G$11*B104))</f>
        <v>1.3082912129996049</v>
      </c>
      <c r="D104" s="284">
        <f t="shared" ref="D104:D118" si="33">C104*COS(B104)</f>
        <v>-1.0212104912624516</v>
      </c>
      <c r="E104" s="293">
        <f t="shared" ref="E104:E118" si="34">C104*SIN(B104)</f>
        <v>-0.81777443745049883</v>
      </c>
      <c r="L104" s="216"/>
      <c r="N104" s="1043">
        <f t="shared" si="27"/>
        <v>10.09999999999998</v>
      </c>
      <c r="O104" s="123">
        <f t="shared" si="23"/>
        <v>0.48034470363395859</v>
      </c>
      <c r="P104" s="284">
        <f t="shared" si="24"/>
        <v>-0.37494179116947079</v>
      </c>
      <c r="Q104" s="293">
        <f t="shared" si="25"/>
        <v>-0.30024937559273029</v>
      </c>
      <c r="AB104" s="1024"/>
      <c r="AC104" s="1023"/>
      <c r="AD104" s="1023"/>
      <c r="AE104" s="1023"/>
    </row>
    <row r="105" spans="1:31" x14ac:dyDescent="0.2">
      <c r="B105" s="1043">
        <f t="shared" si="26"/>
        <v>10.19999999999998</v>
      </c>
      <c r="C105" s="123">
        <f t="shared" si="32"/>
        <v>1.393701091484786</v>
      </c>
      <c r="D105" s="284">
        <f t="shared" si="33"/>
        <v>-0.99547281884042038</v>
      </c>
      <c r="E105" s="293">
        <f t="shared" si="34"/>
        <v>-0.97541611600167422</v>
      </c>
      <c r="L105" s="216"/>
      <c r="N105" s="1043">
        <f t="shared" si="27"/>
        <v>10.19999999999998</v>
      </c>
      <c r="O105" s="123">
        <f t="shared" si="23"/>
        <v>0.45471167987581429</v>
      </c>
      <c r="P105" s="284">
        <f t="shared" si="24"/>
        <v>-0.32478493451088825</v>
      </c>
      <c r="Q105" s="293">
        <f t="shared" si="25"/>
        <v>-0.31824119489821406</v>
      </c>
      <c r="AB105" s="1024"/>
      <c r="AC105" s="1023"/>
      <c r="AD105" s="1023"/>
      <c r="AE105" s="1023"/>
    </row>
    <row r="106" spans="1:31" x14ac:dyDescent="0.2">
      <c r="B106" s="1043">
        <f t="shared" si="26"/>
        <v>10.299999999999979</v>
      </c>
      <c r="C106" s="123">
        <f t="shared" si="32"/>
        <v>1.4737955898832118</v>
      </c>
      <c r="D106" s="284">
        <f t="shared" si="33"/>
        <v>-0.94444714813218267</v>
      </c>
      <c r="E106" s="293">
        <f t="shared" si="34"/>
        <v>-1.13141196084547</v>
      </c>
      <c r="L106" s="216"/>
      <c r="N106" s="1043">
        <f t="shared" si="27"/>
        <v>10.299999999999979</v>
      </c>
      <c r="O106" s="123">
        <f t="shared" si="23"/>
        <v>0.43277044086155786</v>
      </c>
      <c r="P106" s="284">
        <f t="shared" si="24"/>
        <v>-0.27733073125832514</v>
      </c>
      <c r="Q106" s="293">
        <f t="shared" si="25"/>
        <v>-0.33223172633454173</v>
      </c>
      <c r="AB106" s="1024"/>
      <c r="AC106" s="1023"/>
      <c r="AD106" s="1023"/>
      <c r="AE106" s="1023"/>
    </row>
    <row r="107" spans="1:31" x14ac:dyDescent="0.2">
      <c r="B107" s="1043">
        <f t="shared" si="26"/>
        <v>10.399999999999979</v>
      </c>
      <c r="C107" s="123">
        <f t="shared" si="32"/>
        <v>1.5439815616924975</v>
      </c>
      <c r="D107" s="284">
        <f t="shared" si="33"/>
        <v>-0.86614934986742598</v>
      </c>
      <c r="E107" s="293">
        <f t="shared" si="34"/>
        <v>-1.2781488045492351</v>
      </c>
      <c r="L107" s="216"/>
      <c r="N107" s="1043">
        <f t="shared" si="27"/>
        <v>10.399999999999979</v>
      </c>
      <c r="O107" s="123">
        <f t="shared" si="23"/>
        <v>0.41408974943023813</v>
      </c>
      <c r="P107" s="284">
        <f t="shared" si="24"/>
        <v>-0.23229783059235667</v>
      </c>
      <c r="Q107" s="293">
        <f t="shared" si="25"/>
        <v>-0.34279445515539214</v>
      </c>
      <c r="AB107" s="1024"/>
      <c r="AC107" s="1023"/>
      <c r="AD107" s="1023"/>
      <c r="AE107" s="1023"/>
    </row>
    <row r="108" spans="1:31" x14ac:dyDescent="0.2">
      <c r="B108" s="1043">
        <f t="shared" si="26"/>
        <v>10.499999999999979</v>
      </c>
      <c r="C108" s="123">
        <f t="shared" si="32"/>
        <v>1.599435427091066</v>
      </c>
      <c r="D108" s="284">
        <f t="shared" si="33"/>
        <v>-0.76059060952687374</v>
      </c>
      <c r="E108" s="293">
        <f t="shared" si="34"/>
        <v>-1.4070165635604719</v>
      </c>
      <c r="L108" s="216"/>
      <c r="N108" s="1043">
        <f t="shared" si="27"/>
        <v>10.499999999999979</v>
      </c>
      <c r="O108" s="123">
        <f t="shared" si="23"/>
        <v>0.39830891010150704</v>
      </c>
      <c r="P108" s="284">
        <f t="shared" si="24"/>
        <v>-0.18941059550311007</v>
      </c>
      <c r="Q108" s="293">
        <f t="shared" si="25"/>
        <v>-0.35039065937522884</v>
      </c>
      <c r="AB108" s="1024"/>
      <c r="AC108" s="1023"/>
      <c r="AD108" s="1023"/>
      <c r="AE108" s="1023"/>
    </row>
    <row r="109" spans="1:31" x14ac:dyDescent="0.2">
      <c r="B109" s="1043">
        <f t="shared" si="26"/>
        <v>10.599999999999978</v>
      </c>
      <c r="C109" s="123">
        <f t="shared" si="32"/>
        <v>1.6357847204409093</v>
      </c>
      <c r="D109" s="284">
        <f t="shared" si="33"/>
        <v>-0.63033032466693528</v>
      </c>
      <c r="E109" s="293">
        <f t="shared" si="34"/>
        <v>-1.5094619350726337</v>
      </c>
      <c r="L109" s="216"/>
      <c r="N109" s="1043">
        <f t="shared" si="27"/>
        <v>10.599999999999978</v>
      </c>
      <c r="O109" s="123">
        <f t="shared" si="23"/>
        <v>0.38512920073652235</v>
      </c>
      <c r="P109" s="284">
        <f t="shared" si="24"/>
        <v>-0.1484049894252199</v>
      </c>
      <c r="Q109" s="293">
        <f t="shared" si="25"/>
        <v>-0.35538776058504451</v>
      </c>
      <c r="AB109" s="1024"/>
      <c r="AC109" s="1023"/>
      <c r="AD109" s="1023"/>
      <c r="AE109" s="1023"/>
    </row>
    <row r="110" spans="1:31" x14ac:dyDescent="0.2">
      <c r="A110" s="1050" t="s">
        <v>91</v>
      </c>
      <c r="B110" s="1064">
        <f t="shared" si="26"/>
        <v>10.699999999999978</v>
      </c>
      <c r="C110" s="1047">
        <f t="shared" si="32"/>
        <v>1.6498819536206002</v>
      </c>
      <c r="D110" s="1051">
        <f t="shared" si="33"/>
        <v>-0.48059292919518859</v>
      </c>
      <c r="E110" s="1049">
        <f t="shared" si="34"/>
        <v>-1.5783348495457219</v>
      </c>
      <c r="L110" s="216"/>
      <c r="N110" s="1043">
        <f t="shared" si="27"/>
        <v>10.699999999999978</v>
      </c>
      <c r="O110" s="123">
        <f t="shared" si="23"/>
        <v>0.37430613710297855</v>
      </c>
      <c r="P110" s="284">
        <f t="shared" si="24"/>
        <v>-0.10903136582062574</v>
      </c>
      <c r="Q110" s="293">
        <f t="shared" si="25"/>
        <v>-0.35807435755753675</v>
      </c>
      <c r="AB110" s="1024"/>
      <c r="AC110" s="1023"/>
      <c r="AD110" s="1023"/>
      <c r="AE110" s="1023"/>
    </row>
    <row r="111" spans="1:31" x14ac:dyDescent="0.2">
      <c r="B111" s="1043">
        <f t="shared" si="26"/>
        <v>10.799999999999978</v>
      </c>
      <c r="C111" s="123">
        <f t="shared" si="32"/>
        <v>1.6404447554203734</v>
      </c>
      <c r="D111" s="284">
        <f t="shared" si="33"/>
        <v>-0.31878747586602285</v>
      </c>
      <c r="E111" s="293">
        <f t="shared" si="34"/>
        <v>-1.6091716940144014</v>
      </c>
      <c r="L111" s="216"/>
      <c r="N111" s="1043">
        <f t="shared" si="27"/>
        <v>10.799999999999978</v>
      </c>
      <c r="O111" s="123">
        <f t="shared" si="23"/>
        <v>0.36564280933651161</v>
      </c>
      <c r="P111" s="284">
        <f t="shared" si="24"/>
        <v>-7.10553329344384E-2</v>
      </c>
      <c r="Q111" s="293">
        <f t="shared" si="25"/>
        <v>-0.35867227894147702</v>
      </c>
      <c r="AB111" s="1024"/>
      <c r="AC111" s="1023"/>
      <c r="AD111" s="1023"/>
      <c r="AE111" s="1023"/>
    </row>
    <row r="112" spans="1:31" x14ac:dyDescent="0.2">
      <c r="B112" s="1043">
        <f t="shared" si="26"/>
        <v>10.899999999999977</v>
      </c>
      <c r="C112" s="123">
        <f t="shared" si="32"/>
        <v>1.608335447400675</v>
      </c>
      <c r="D112" s="284">
        <f t="shared" si="33"/>
        <v>-0.15348160376958331</v>
      </c>
      <c r="E112" s="293">
        <f t="shared" si="34"/>
        <v>-1.6009954118203606</v>
      </c>
      <c r="L112" s="216"/>
      <c r="N112" s="1043">
        <f t="shared" si="27"/>
        <v>10.899999999999977</v>
      </c>
      <c r="O112" s="123">
        <f t="shared" si="23"/>
        <v>0.35898435105241028</v>
      </c>
      <c r="P112" s="284">
        <f t="shared" si="24"/>
        <v>-3.4257464148261675E-2</v>
      </c>
      <c r="Q112" s="293">
        <f t="shared" si="25"/>
        <v>-0.35734603740723181</v>
      </c>
      <c r="AB112" s="1024"/>
      <c r="AC112" s="1023"/>
      <c r="AD112" s="1023"/>
      <c r="AE112" s="1023"/>
    </row>
    <row r="113" spans="2:31" x14ac:dyDescent="0.2">
      <c r="B113" s="1043">
        <f t="shared" si="26"/>
        <v>10.999999999999977</v>
      </c>
      <c r="C113" s="123">
        <f t="shared" si="32"/>
        <v>1.5563718752173252</v>
      </c>
      <c r="D113" s="284">
        <f t="shared" si="33"/>
        <v>6.8880318767722036E-3</v>
      </c>
      <c r="E113" s="293">
        <f t="shared" si="34"/>
        <v>-1.556356632968279</v>
      </c>
      <c r="L113" s="216"/>
      <c r="N113" s="1043">
        <f t="shared" si="27"/>
        <v>10.999999999999977</v>
      </c>
      <c r="O113" s="123">
        <f t="shared" si="23"/>
        <v>0.35421351450503008</v>
      </c>
      <c r="P113" s="284">
        <f t="shared" si="24"/>
        <v>1.5676420384771296E-3</v>
      </c>
      <c r="Q113" s="293">
        <f t="shared" si="25"/>
        <v>-0.35421004553293567</v>
      </c>
      <c r="AB113" s="740"/>
      <c r="AC113" s="1023"/>
      <c r="AD113" s="1023"/>
      <c r="AE113" s="1023"/>
    </row>
    <row r="114" spans="2:31" x14ac:dyDescent="0.2">
      <c r="B114" s="1043">
        <f t="shared" si="26"/>
        <v>11.099999999999977</v>
      </c>
      <c r="C114" s="123">
        <f t="shared" si="32"/>
        <v>1.4887432542983161</v>
      </c>
      <c r="D114" s="284">
        <f t="shared" si="33"/>
        <v>0.1551806818511301</v>
      </c>
      <c r="E114" s="293">
        <f t="shared" si="34"/>
        <v>-1.4806334567336235</v>
      </c>
      <c r="L114" s="216"/>
      <c r="N114" s="1043">
        <f t="shared" si="27"/>
        <v>11.099999999999977</v>
      </c>
      <c r="O114" s="123">
        <f t="shared" si="23"/>
        <v>0.35124729004849742</v>
      </c>
      <c r="P114" s="284">
        <f t="shared" si="24"/>
        <v>3.6612621961990333E-2</v>
      </c>
      <c r="Q114" s="293">
        <f t="shared" si="25"/>
        <v>-0.34933390141737125</v>
      </c>
      <c r="AB114" s="1024"/>
      <c r="AC114" s="1023"/>
      <c r="AD114" s="1023"/>
      <c r="AE114" s="1023"/>
    </row>
    <row r="115" spans="2:31" x14ac:dyDescent="0.2">
      <c r="B115" s="1043">
        <f t="shared" si="26"/>
        <v>11.199999999999976</v>
      </c>
      <c r="C115" s="123">
        <f t="shared" si="32"/>
        <v>1.4102432035526253</v>
      </c>
      <c r="D115" s="284">
        <f t="shared" si="33"/>
        <v>0.28628622948848714</v>
      </c>
      <c r="E115" s="293">
        <f t="shared" si="34"/>
        <v>-1.3808787376057454</v>
      </c>
      <c r="L115" s="216"/>
      <c r="N115" s="1043">
        <f t="shared" si="27"/>
        <v>11.199999999999976</v>
      </c>
      <c r="O115" s="123">
        <f t="shared" si="23"/>
        <v>0.35003450229479077</v>
      </c>
      <c r="P115" s="284">
        <f t="shared" si="24"/>
        <v>7.1058706470210162E-2</v>
      </c>
      <c r="Q115" s="293">
        <f t="shared" si="25"/>
        <v>-0.34274598908162646</v>
      </c>
      <c r="AB115" s="1024"/>
      <c r="AC115" s="1023"/>
      <c r="AD115" s="1023"/>
      <c r="AE115" s="1023"/>
    </row>
    <row r="116" spans="2:31" x14ac:dyDescent="0.2">
      <c r="B116" s="1043">
        <f t="shared" si="26"/>
        <v>11.299999999999976</v>
      </c>
      <c r="C116" s="123">
        <f t="shared" si="32"/>
        <v>1.3255553819501928</v>
      </c>
      <c r="D116" s="284">
        <f t="shared" si="33"/>
        <v>0.39732905299532373</v>
      </c>
      <c r="E116" s="293">
        <f t="shared" si="34"/>
        <v>-1.2646053511918098</v>
      </c>
      <c r="L116" s="216"/>
      <c r="N116" s="1043">
        <f t="shared" si="27"/>
        <v>11.299999999999976</v>
      </c>
      <c r="O116" s="123">
        <f t="shared" si="23"/>
        <v>0.35055432546153981</v>
      </c>
      <c r="P116" s="284">
        <f t="shared" si="24"/>
        <v>0.10507702662270335</v>
      </c>
      <c r="Q116" s="293">
        <f t="shared" si="25"/>
        <v>-0.33443557462675361</v>
      </c>
      <c r="AB116" s="1024"/>
      <c r="AC116" s="1023"/>
      <c r="AD116" s="1023"/>
      <c r="AE116" s="1023"/>
    </row>
    <row r="117" spans="2:31" x14ac:dyDescent="0.2">
      <c r="B117" s="1043">
        <f t="shared" si="26"/>
        <v>11.399999999999975</v>
      </c>
      <c r="C117" s="123">
        <f t="shared" si="32"/>
        <v>1.2387482159325751</v>
      </c>
      <c r="D117" s="284">
        <f t="shared" si="33"/>
        <v>0.48743610867418491</v>
      </c>
      <c r="E117" s="293">
        <f t="shared" si="34"/>
        <v>-1.1388165710230538</v>
      </c>
      <c r="L117" s="216"/>
      <c r="N117" s="1043">
        <f t="shared" si="27"/>
        <v>11.399999999999975</v>
      </c>
      <c r="O117" s="123">
        <f t="shared" si="23"/>
        <v>0.35281567883348602</v>
      </c>
      <c r="P117" s="284">
        <f t="shared" si="24"/>
        <v>0.13882974712529958</v>
      </c>
      <c r="Q117" s="293">
        <f t="shared" si="25"/>
        <v>-0.32435351785337391</v>
      </c>
      <c r="AB117" s="1024"/>
      <c r="AC117" s="1023"/>
      <c r="AD117" s="1023"/>
      <c r="AE117" s="1023"/>
    </row>
    <row r="118" spans="2:31" x14ac:dyDescent="0.2">
      <c r="B118" s="1043">
        <f t="shared" si="26"/>
        <v>11.499999999999975</v>
      </c>
      <c r="C118" s="123">
        <f t="shared" si="32"/>
        <v>1.1530224970296854</v>
      </c>
      <c r="D118" s="284">
        <f t="shared" si="33"/>
        <v>0.55726125976369545</v>
      </c>
      <c r="E118" s="293">
        <f t="shared" si="34"/>
        <v>-1.0094160524893341</v>
      </c>
      <c r="L118" s="216"/>
      <c r="N118" s="1043">
        <f t="shared" si="27"/>
        <v>11.499999999999975</v>
      </c>
      <c r="O118" s="123">
        <f t="shared" si="23"/>
        <v>0.35685748569373077</v>
      </c>
      <c r="P118" s="284">
        <f t="shared" si="24"/>
        <v>0.17247092103240502</v>
      </c>
      <c r="Q118" s="293">
        <f t="shared" si="25"/>
        <v>-0.31241166190442565</v>
      </c>
      <c r="AB118" s="1024"/>
      <c r="AC118" s="1023"/>
      <c r="AD118" s="1023"/>
      <c r="AE118" s="1023"/>
    </row>
    <row r="119" spans="2:31" x14ac:dyDescent="0.2">
      <c r="B119" s="1043">
        <f t="shared" si="26"/>
        <v>11.599999999999975</v>
      </c>
      <c r="C119" s="123">
        <f t="shared" si="32"/>
        <v>1.0706707741249193</v>
      </c>
      <c r="D119" s="284">
        <f>C119*COS(B119)</f>
        <v>0.60845109783081819</v>
      </c>
      <c r="E119" s="293">
        <f>C119*SIN(B119)</f>
        <v>-0.88097852874728233</v>
      </c>
      <c r="L119" s="216"/>
      <c r="N119" s="1043">
        <f t="shared" si="27"/>
        <v>11.599999999999975</v>
      </c>
      <c r="O119" s="123">
        <f t="shared" si="23"/>
        <v>0.36274980290414371</v>
      </c>
      <c r="P119" s="284">
        <f t="shared" si="24"/>
        <v>0.20614695119079382</v>
      </c>
      <c r="Q119" s="293">
        <f t="shared" si="25"/>
        <v>-0.29848091064879773</v>
      </c>
      <c r="AB119" s="1024"/>
      <c r="AC119" s="1023"/>
      <c r="AD119" s="1023"/>
      <c r="AE119" s="1023"/>
    </row>
    <row r="120" spans="2:31" x14ac:dyDescent="0.2">
      <c r="B120" s="1043">
        <f t="shared" si="26"/>
        <v>11.699999999999974</v>
      </c>
      <c r="C120" s="123">
        <f t="shared" ref="C120:C130" si="35">$G$12*(1-$G$13^2)/(1+$G$13*COS($G$11*B120))</f>
        <v>0.99317216395788521</v>
      </c>
      <c r="D120" s="284">
        <f t="shared" ref="D120:D130" si="36">C120*COS(B120)</f>
        <v>0.64317465703205468</v>
      </c>
      <c r="E120" s="293">
        <f t="shared" ref="E120:E130" si="37">C120*SIN(B120)</f>
        <v>-0.75678088494126716</v>
      </c>
      <c r="N120" s="1043">
        <f t="shared" si="27"/>
        <v>11.699999999999974</v>
      </c>
      <c r="O120" s="123">
        <f t="shared" si="23"/>
        <v>0.37059585155823549</v>
      </c>
      <c r="P120" s="284">
        <f t="shared" si="24"/>
        <v>0.23999651658942159</v>
      </c>
      <c r="Q120" s="293">
        <f t="shared" si="25"/>
        <v>-0.28238795515587634</v>
      </c>
      <c r="AB120" s="1024"/>
      <c r="AC120" s="1023"/>
      <c r="AD120" s="1023"/>
      <c r="AE120" s="1023"/>
    </row>
    <row r="121" spans="2:31" x14ac:dyDescent="0.2">
      <c r="B121" s="1043">
        <f t="shared" si="26"/>
        <v>11.799999999999974</v>
      </c>
      <c r="C121" s="123">
        <f t="shared" si="35"/>
        <v>0.9213496417614373</v>
      </c>
      <c r="D121" s="284">
        <f t="shared" si="36"/>
        <v>0.66377020643149642</v>
      </c>
      <c r="E121" s="293">
        <f t="shared" si="37"/>
        <v>-0.6389790884119898</v>
      </c>
      <c r="N121" s="1043">
        <f t="shared" si="27"/>
        <v>11.799999999999974</v>
      </c>
      <c r="O121" s="123">
        <f t="shared" si="23"/>
        <v>0.38053499955467379</v>
      </c>
      <c r="P121" s="284">
        <f t="shared" si="24"/>
        <v>0.27414977307194432</v>
      </c>
      <c r="Q121" s="293">
        <f t="shared" si="25"/>
        <v>-0.2639105678268247</v>
      </c>
      <c r="AB121" s="1024"/>
      <c r="AC121" s="1023"/>
      <c r="AD121" s="1023"/>
      <c r="AE121" s="1023"/>
    </row>
    <row r="122" spans="2:31" x14ac:dyDescent="0.2">
      <c r="B122" s="1043">
        <f t="shared" si="26"/>
        <v>11.899999999999974</v>
      </c>
      <c r="C122" s="123">
        <f t="shared" si="35"/>
        <v>0.85553808379972474</v>
      </c>
      <c r="D122" s="284">
        <f t="shared" si="36"/>
        <v>0.67251307489237289</v>
      </c>
      <c r="E122" s="293">
        <f t="shared" si="37"/>
        <v>-0.52883984052878474</v>
      </c>
      <c r="N122" s="1043">
        <f t="shared" si="27"/>
        <v>11.899999999999974</v>
      </c>
      <c r="O122" s="123">
        <f t="shared" si="23"/>
        <v>0.39274676105288953</v>
      </c>
      <c r="P122" s="284">
        <f t="shared" si="24"/>
        <v>0.30872656276927241</v>
      </c>
      <c r="Q122" s="293">
        <f t="shared" si="25"/>
        <v>-0.24277134871768949</v>
      </c>
      <c r="AB122" s="1024"/>
      <c r="AC122" s="1023"/>
      <c r="AD122" s="1023"/>
      <c r="AE122" s="1023"/>
    </row>
    <row r="123" spans="2:31" x14ac:dyDescent="0.2">
      <c r="B123" s="1043">
        <f t="shared" si="26"/>
        <v>11.999999999999973</v>
      </c>
      <c r="C123" s="123">
        <f t="shared" si="35"/>
        <v>0.79573430023021063</v>
      </c>
      <c r="D123" s="284">
        <f t="shared" si="36"/>
        <v>0.67148353934848126</v>
      </c>
      <c r="E123" s="293">
        <f t="shared" si="37"/>
        <v>-0.42696947542757624</v>
      </c>
      <c r="N123" s="1043">
        <f t="shared" si="27"/>
        <v>11.999999999999973</v>
      </c>
      <c r="O123" s="123">
        <f t="shared" si="23"/>
        <v>0.40745587949923479</v>
      </c>
      <c r="P123" s="284">
        <f t="shared" si="24"/>
        <v>0.34383325692425271</v>
      </c>
      <c r="Q123" s="293">
        <f t="shared" si="25"/>
        <v>-0.2186297902193472</v>
      </c>
      <c r="AB123" s="740"/>
      <c r="AC123" s="1023"/>
      <c r="AD123" s="1023"/>
      <c r="AE123" s="1023"/>
    </row>
    <row r="124" spans="2:31" x14ac:dyDescent="0.2">
      <c r="B124" s="1043">
        <f t="shared" si="26"/>
        <v>12.099999999999973</v>
      </c>
      <c r="C124" s="123">
        <f t="shared" si="35"/>
        <v>0.74171761441993744</v>
      </c>
      <c r="D124" s="284">
        <f t="shared" si="36"/>
        <v>0.66250670621399443</v>
      </c>
      <c r="E124" s="293">
        <f t="shared" si="37"/>
        <v>-0.33351144472459571</v>
      </c>
      <c r="N124" s="1043">
        <f t="shared" si="27"/>
        <v>12.099999999999973</v>
      </c>
      <c r="O124" s="123">
        <f t="shared" si="23"/>
        <v>0.42493853957182698</v>
      </c>
      <c r="P124" s="284">
        <f t="shared" si="24"/>
        <v>0.37955770056139687</v>
      </c>
      <c r="Q124" s="293">
        <f t="shared" si="25"/>
        <v>-0.19107253690151854</v>
      </c>
      <c r="AB124" s="1024"/>
      <c r="AC124" s="1023"/>
      <c r="AD124" s="1023"/>
      <c r="AE124" s="1023"/>
    </row>
    <row r="125" spans="2:31" x14ac:dyDescent="0.2">
      <c r="B125" s="1043">
        <f t="shared" si="26"/>
        <v>12.199999999999973</v>
      </c>
      <c r="C125" s="123">
        <f t="shared" si="35"/>
        <v>0.69313995675075069</v>
      </c>
      <c r="D125" s="284">
        <f t="shared" si="36"/>
        <v>0.64713878367493327</v>
      </c>
      <c r="E125" s="293">
        <f t="shared" si="37"/>
        <v>-0.24830302919650515</v>
      </c>
      <c r="N125" s="1043">
        <f t="shared" si="27"/>
        <v>12.199999999999973</v>
      </c>
      <c r="O125" s="123">
        <f t="shared" si="23"/>
        <v>0.44552969047969476</v>
      </c>
      <c r="P125" s="284">
        <f t="shared" si="24"/>
        <v>0.41596150846599844</v>
      </c>
      <c r="Q125" s="293">
        <f t="shared" si="25"/>
        <v>-0.15960178123574859</v>
      </c>
      <c r="AB125" s="1024"/>
      <c r="AC125" s="1023"/>
      <c r="AD125" s="1023"/>
      <c r="AE125" s="1023"/>
    </row>
    <row r="126" spans="2:31" x14ac:dyDescent="0.2">
      <c r="B126" s="1043">
        <f t="shared" si="26"/>
        <v>12.299999999999972</v>
      </c>
      <c r="C126" s="123">
        <f t="shared" si="35"/>
        <v>0.64958943926293133</v>
      </c>
      <c r="D126" s="284">
        <f t="shared" si="36"/>
        <v>0.62668012029161779</v>
      </c>
      <c r="E126" s="293">
        <f t="shared" si="37"/>
        <v>-0.17099259174950537</v>
      </c>
      <c r="N126" s="1043">
        <f t="shared" si="27"/>
        <v>12.299999999999972</v>
      </c>
      <c r="O126" s="123">
        <f t="shared" si="23"/>
        <v>0.46963132711173355</v>
      </c>
      <c r="P126" s="284">
        <f t="shared" si="24"/>
        <v>0.45306865964606197</v>
      </c>
      <c r="Q126" s="293">
        <f t="shared" si="25"/>
        <v>-0.12362189551713294</v>
      </c>
      <c r="AB126" s="1024"/>
      <c r="AC126" s="1023"/>
      <c r="AD126" s="1023"/>
      <c r="AE126" s="1023"/>
    </row>
    <row r="127" spans="2:31" x14ac:dyDescent="0.2">
      <c r="B127" s="1043">
        <f t="shared" si="26"/>
        <v>12.399999999999972</v>
      </c>
      <c r="C127" s="123">
        <f t="shared" si="35"/>
        <v>0.61063298916541542</v>
      </c>
      <c r="D127" s="284">
        <f t="shared" si="36"/>
        <v>0.60220155343246251</v>
      </c>
      <c r="E127" s="293">
        <f t="shared" si="37"/>
        <v>-0.10112337267229217</v>
      </c>
      <c r="N127" s="1043">
        <f t="shared" si="27"/>
        <v>12.399999999999972</v>
      </c>
      <c r="O127" s="123">
        <f t="shared" si="23"/>
        <v>0.49772131414454468</v>
      </c>
      <c r="P127" s="284">
        <f t="shared" si="24"/>
        <v>0.49084892868946772</v>
      </c>
      <c r="Q127" s="293">
        <f t="shared" si="25"/>
        <v>-8.2424727831970246E-2</v>
      </c>
      <c r="AB127" s="1024"/>
      <c r="AC127" s="1023"/>
      <c r="AD127" s="1023"/>
      <c r="AE127" s="1023"/>
    </row>
    <row r="128" spans="2:31" x14ac:dyDescent="0.2">
      <c r="B128" s="1043">
        <f t="shared" si="26"/>
        <v>12.499999999999972</v>
      </c>
      <c r="C128" s="123">
        <f t="shared" si="35"/>
        <v>0.57584346896668448</v>
      </c>
      <c r="D128" s="284">
        <f t="shared" si="36"/>
        <v>0.5745756224111811</v>
      </c>
      <c r="E128" s="293">
        <f t="shared" si="37"/>
        <v>-3.8191031439184099E-2</v>
      </c>
      <c r="N128" s="1043">
        <f t="shared" si="27"/>
        <v>12.499999999999972</v>
      </c>
      <c r="O128" s="123">
        <f t="shared" si="23"/>
        <v>0.53036186597222679</v>
      </c>
      <c r="P128" s="284">
        <f t="shared" si="24"/>
        <v>0.52919415720902796</v>
      </c>
      <c r="Q128" s="293">
        <f t="shared" si="25"/>
        <v>-3.5174605234016325E-2</v>
      </c>
      <c r="AB128" s="1024"/>
      <c r="AC128" s="1023"/>
      <c r="AD128" s="1023"/>
      <c r="AE128" s="1023"/>
    </row>
    <row r="129" spans="2:31" x14ac:dyDescent="0.2">
      <c r="B129" s="1043">
        <f t="shared" si="26"/>
        <v>12.599999999999971</v>
      </c>
      <c r="C129" s="123">
        <f t="shared" si="35"/>
        <v>0.54481583590769178</v>
      </c>
      <c r="D129" s="284">
        <f t="shared" si="36"/>
        <v>0.54450778913478792</v>
      </c>
      <c r="E129" s="293">
        <f t="shared" si="37"/>
        <v>1.8318368577531906E-2</v>
      </c>
      <c r="N129" s="1043">
        <f t="shared" si="27"/>
        <v>12.599999999999971</v>
      </c>
      <c r="O129" s="123">
        <f t="shared" si="23"/>
        <v>0.56820597702107645</v>
      </c>
      <c r="P129" s="284">
        <f t="shared" si="24"/>
        <v>0.56788470512325351</v>
      </c>
      <c r="Q129" s="293">
        <f t="shared" si="25"/>
        <v>1.9104816396695624E-2</v>
      </c>
      <c r="AB129" s="1024"/>
      <c r="AC129" s="1023"/>
      <c r="AD129" s="1023"/>
      <c r="AE129" s="1023"/>
    </row>
    <row r="130" spans="2:31" ht="13.5" thickBot="1" x14ac:dyDescent="0.25">
      <c r="B130" s="1043">
        <f t="shared" si="26"/>
        <v>12.699999999999971</v>
      </c>
      <c r="C130" s="284">
        <f t="shared" si="35"/>
        <v>0.51717585588767867</v>
      </c>
      <c r="D130" s="284">
        <f t="shared" si="36"/>
        <v>0.51256516683786868</v>
      </c>
      <c r="E130" s="293">
        <f t="shared" si="37"/>
        <v>6.8904395053006703E-2</v>
      </c>
      <c r="N130" s="1046">
        <f t="shared" si="27"/>
        <v>12.699999999999971</v>
      </c>
      <c r="O130" s="288">
        <f t="shared" si="23"/>
        <v>0.61199872753588125</v>
      </c>
      <c r="P130" s="565">
        <f t="shared" si="24"/>
        <v>0.60654268043038728</v>
      </c>
      <c r="Q130" s="289">
        <f t="shared" si="25"/>
        <v>8.1537839815995217E-2</v>
      </c>
      <c r="AB130" s="1024"/>
      <c r="AC130" s="1023"/>
      <c r="AD130" s="1023"/>
      <c r="AE130" s="1023"/>
    </row>
    <row r="131" spans="2:31" x14ac:dyDescent="0.2">
      <c r="B131" s="1043">
        <f t="shared" si="26"/>
        <v>12.799999999999971</v>
      </c>
      <c r="C131" s="284">
        <f t="shared" ref="C131:C133" si="38">$G$12*(1-$G$13^2)/(1+$G$13*COS($G$11*B131))</f>
        <v>0.49258394390306293</v>
      </c>
      <c r="D131" s="284">
        <f t="shared" ref="D131:D133" si="39">C131*COS(B131)</f>
        <v>0.47920170196858175</v>
      </c>
      <c r="E131" s="293">
        <f t="shared" ref="E131:E133" si="40">C131*SIN(B131)</f>
        <v>0.1140380227008099</v>
      </c>
      <c r="AB131" s="1024"/>
      <c r="AC131" s="1023"/>
      <c r="AD131" s="1023"/>
      <c r="AE131" s="1023"/>
    </row>
    <row r="132" spans="2:31" x14ac:dyDescent="0.2">
      <c r="B132" s="1043">
        <f t="shared" si="26"/>
        <v>12.89999999999997</v>
      </c>
      <c r="C132" s="284">
        <f t="shared" si="38"/>
        <v>0.47073594141828762</v>
      </c>
      <c r="D132" s="284">
        <f t="shared" si="39"/>
        <v>0.44477957957170583</v>
      </c>
      <c r="E132" s="293">
        <f t="shared" si="40"/>
        <v>0.15415398839789424</v>
      </c>
      <c r="AB132" s="1024"/>
      <c r="AC132" s="1023"/>
      <c r="AD132" s="1023"/>
      <c r="AE132" s="1023"/>
    </row>
    <row r="133" spans="2:31" ht="13.5" thickBot="1" x14ac:dyDescent="0.25">
      <c r="B133" s="1046">
        <f t="shared" si="26"/>
        <v>12.99999999999997</v>
      </c>
      <c r="C133" s="565">
        <f t="shared" si="38"/>
        <v>0.45136206651926142</v>
      </c>
      <c r="D133" s="565">
        <f t="shared" si="39"/>
        <v>0.40958705453161887</v>
      </c>
      <c r="E133" s="289">
        <f t="shared" si="40"/>
        <v>0.18964746202533489</v>
      </c>
      <c r="AB133" s="740"/>
      <c r="AC133" s="1023"/>
      <c r="AD133" s="1023"/>
      <c r="AE133" s="1023"/>
    </row>
    <row r="134" spans="2:31" x14ac:dyDescent="0.2">
      <c r="B134" s="26"/>
      <c r="C134" s="3"/>
      <c r="D134" s="3"/>
      <c r="E134" s="3"/>
      <c r="AB134" s="1024"/>
      <c r="AC134" s="1023"/>
      <c r="AD134" s="1023"/>
      <c r="AE134" s="1023"/>
    </row>
    <row r="135" spans="2:31" x14ac:dyDescent="0.2">
      <c r="B135" s="26"/>
      <c r="C135" s="3"/>
      <c r="D135" s="3"/>
      <c r="E135" s="3"/>
      <c r="AB135" s="1024"/>
      <c r="AC135" s="1023"/>
      <c r="AD135" s="1023"/>
      <c r="AE135" s="1023"/>
    </row>
    <row r="136" spans="2:31" x14ac:dyDescent="0.2">
      <c r="B136" s="26"/>
      <c r="C136" s="3"/>
      <c r="D136" s="3"/>
      <c r="E136" s="3"/>
      <c r="AB136" s="1024"/>
      <c r="AC136" s="1023"/>
      <c r="AD136" s="1023"/>
      <c r="AE136" s="1023"/>
    </row>
    <row r="137" spans="2:31" x14ac:dyDescent="0.2">
      <c r="B137" s="3"/>
      <c r="C137" s="3"/>
      <c r="D137" s="3"/>
      <c r="E137" s="3"/>
      <c r="AB137" s="1024"/>
      <c r="AC137" s="1023"/>
      <c r="AD137" s="1023"/>
      <c r="AE137" s="1023"/>
    </row>
    <row r="138" spans="2:31" x14ac:dyDescent="0.2">
      <c r="B138" s="3"/>
      <c r="C138" s="3"/>
      <c r="D138" s="3"/>
      <c r="E138" s="3"/>
      <c r="AB138" s="1024"/>
      <c r="AC138" s="1023"/>
      <c r="AD138" s="1023"/>
      <c r="AE138" s="1023"/>
    </row>
    <row r="139" spans="2:31" x14ac:dyDescent="0.2">
      <c r="B139" s="3"/>
      <c r="C139" s="3"/>
      <c r="D139" s="3"/>
      <c r="E139" s="3"/>
      <c r="AB139" s="1024"/>
      <c r="AC139" s="1023"/>
      <c r="AD139" s="1023"/>
      <c r="AE139" s="1023"/>
    </row>
    <row r="140" spans="2:31" x14ac:dyDescent="0.2">
      <c r="B140" s="3"/>
      <c r="C140" s="3"/>
      <c r="D140" s="3"/>
      <c r="E140" s="3"/>
      <c r="AB140" s="1024"/>
      <c r="AC140" s="1023"/>
      <c r="AD140" s="1023"/>
      <c r="AE140" s="1023"/>
    </row>
    <row r="141" spans="2:31" x14ac:dyDescent="0.2">
      <c r="B141" s="3"/>
      <c r="C141" s="3"/>
      <c r="D141" s="3"/>
      <c r="E141" s="3"/>
      <c r="AB141" s="1024"/>
      <c r="AC141" s="1023"/>
      <c r="AD141" s="1023"/>
      <c r="AE141" s="1023"/>
    </row>
    <row r="142" spans="2:31" x14ac:dyDescent="0.2">
      <c r="B142" s="3"/>
      <c r="C142" s="3"/>
      <c r="D142" s="3"/>
      <c r="E142" s="3"/>
      <c r="AB142" s="1024"/>
      <c r="AC142" s="1023"/>
      <c r="AD142" s="1023"/>
      <c r="AE142" s="1023"/>
    </row>
    <row r="143" spans="2:31" x14ac:dyDescent="0.2">
      <c r="B143" s="3"/>
      <c r="C143" s="3"/>
      <c r="D143" s="3"/>
      <c r="E143" s="3"/>
      <c r="AB143" s="1024"/>
      <c r="AC143" s="1023"/>
      <c r="AD143" s="1023"/>
      <c r="AE143" s="1023"/>
    </row>
    <row r="144" spans="2:31" x14ac:dyDescent="0.2">
      <c r="B144" s="3"/>
      <c r="C144" s="3"/>
      <c r="D144" s="3"/>
      <c r="E144" s="3"/>
      <c r="AB144" s="1024"/>
      <c r="AC144" s="1023"/>
      <c r="AD144" s="1023"/>
      <c r="AE144" s="1023"/>
    </row>
    <row r="145" spans="2:31" x14ac:dyDescent="0.2">
      <c r="B145" s="3"/>
      <c r="C145" s="3"/>
      <c r="D145" s="3"/>
      <c r="E145" s="3"/>
      <c r="AB145" s="1024"/>
      <c r="AC145" s="1023"/>
      <c r="AD145" s="1023"/>
      <c r="AE145" s="1023"/>
    </row>
    <row r="146" spans="2:31" x14ac:dyDescent="0.2">
      <c r="B146" s="3"/>
      <c r="C146" s="3"/>
      <c r="D146" s="3"/>
      <c r="E146" s="3"/>
      <c r="AB146" s="1024"/>
      <c r="AC146" s="1023"/>
      <c r="AD146" s="1023"/>
      <c r="AE146" s="1023"/>
    </row>
    <row r="147" spans="2:31" x14ac:dyDescent="0.2">
      <c r="AB147" s="1024"/>
      <c r="AC147" s="1023"/>
      <c r="AD147" s="1023"/>
      <c r="AE147" s="1023"/>
    </row>
    <row r="148" spans="2:31" x14ac:dyDescent="0.2">
      <c r="AB148" s="1024"/>
      <c r="AC148" s="1023"/>
      <c r="AD148" s="1023"/>
      <c r="AE148" s="1023"/>
    </row>
    <row r="149" spans="2:31" x14ac:dyDescent="0.2">
      <c r="AB149" s="1024"/>
      <c r="AC149" s="1023"/>
      <c r="AD149" s="1023"/>
      <c r="AE149" s="1023"/>
    </row>
    <row r="150" spans="2:31" x14ac:dyDescent="0.2">
      <c r="AB150" s="1024"/>
      <c r="AC150" s="1023"/>
      <c r="AD150" s="1023"/>
      <c r="AE150" s="1023"/>
    </row>
    <row r="151" spans="2:31" x14ac:dyDescent="0.2">
      <c r="AB151" s="1024"/>
      <c r="AC151" s="1023"/>
      <c r="AD151" s="1023"/>
      <c r="AE151" s="1023"/>
    </row>
    <row r="152" spans="2:31" x14ac:dyDescent="0.2">
      <c r="AB152" s="1024"/>
      <c r="AC152" s="1023"/>
      <c r="AD152" s="1023"/>
      <c r="AE152" s="1023"/>
    </row>
    <row r="153" spans="2:31" x14ac:dyDescent="0.2">
      <c r="AB153" s="1024"/>
      <c r="AC153" s="1023"/>
      <c r="AD153" s="1023"/>
      <c r="AE153" s="1023"/>
    </row>
    <row r="154" spans="2:31" x14ac:dyDescent="0.2">
      <c r="AB154" s="1024"/>
      <c r="AC154" s="1023"/>
      <c r="AD154" s="1023"/>
      <c r="AE154" s="1023"/>
    </row>
    <row r="155" spans="2:31" x14ac:dyDescent="0.2">
      <c r="AB155" s="1024"/>
      <c r="AC155" s="1023"/>
      <c r="AD155" s="1023"/>
      <c r="AE155" s="1023"/>
    </row>
    <row r="156" spans="2:31" x14ac:dyDescent="0.2">
      <c r="AB156" s="1024"/>
      <c r="AC156" s="1023"/>
      <c r="AD156" s="1023"/>
      <c r="AE156" s="1023"/>
    </row>
    <row r="157" spans="2:31" x14ac:dyDescent="0.2">
      <c r="AB157" s="1024"/>
      <c r="AC157" s="1023"/>
      <c r="AD157" s="1023"/>
      <c r="AE157" s="1023"/>
    </row>
    <row r="158" spans="2:31" x14ac:dyDescent="0.2">
      <c r="AB158" s="1024"/>
      <c r="AC158" s="1023"/>
      <c r="AD158" s="1023"/>
      <c r="AE158" s="1023"/>
    </row>
    <row r="159" spans="2:31" x14ac:dyDescent="0.2">
      <c r="AB159" s="1024"/>
      <c r="AC159" s="1023"/>
      <c r="AD159" s="1023"/>
      <c r="AE159" s="1023"/>
    </row>
    <row r="160" spans="2:31" x14ac:dyDescent="0.2">
      <c r="AB160" s="1024"/>
      <c r="AC160" s="1023"/>
      <c r="AD160" s="1023"/>
      <c r="AE160" s="1023"/>
    </row>
    <row r="161" spans="28:31" x14ac:dyDescent="0.2">
      <c r="AB161" s="1024"/>
      <c r="AC161" s="1023"/>
      <c r="AD161" s="1023"/>
      <c r="AE161" s="1023"/>
    </row>
  </sheetData>
  <mergeCells count="12">
    <mergeCell ref="B1:E1"/>
    <mergeCell ref="I1:K1"/>
    <mergeCell ref="N1:Q1"/>
    <mergeCell ref="F23:G23"/>
    <mergeCell ref="F16:H16"/>
    <mergeCell ref="F1:H1"/>
    <mergeCell ref="AB1:AE1"/>
    <mergeCell ref="F18:G18"/>
    <mergeCell ref="F21:G21"/>
    <mergeCell ref="F22:H22"/>
    <mergeCell ref="F17:H17"/>
    <mergeCell ref="R1:T1"/>
  </mergeCells>
  <pageMargins left="0.7" right="0.7" top="0.78740157499999996" bottom="0.78740157499999996" header="0.3" footer="0.3"/>
  <pageSetup paperSize="9" orientation="portrait" verticalDpi="0" r:id="rId1"/>
  <rowBreaks count="1" manualBreakCount="1">
    <brk id="9" max="16383" man="1"/>
  </rowBreaks>
  <colBreaks count="1" manualBreakCount="1">
    <brk id="11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6"/>
  <sheetViews>
    <sheetView topLeftCell="G28" workbookViewId="0">
      <selection activeCell="O53" sqref="O53"/>
    </sheetView>
  </sheetViews>
  <sheetFormatPr baseColWidth="10" defaultRowHeight="12.75" x14ac:dyDescent="0.2"/>
  <sheetData>
    <row r="1" spans="2:16" ht="13.5" thickBot="1" x14ac:dyDescent="0.25"/>
    <row r="2" spans="2:16" ht="15" x14ac:dyDescent="0.25">
      <c r="B2" s="1503" t="s">
        <v>181</v>
      </c>
      <c r="C2" s="1504"/>
      <c r="D2" s="1504"/>
      <c r="E2" s="1505"/>
      <c r="F2" s="1506"/>
      <c r="H2" s="1503" t="s">
        <v>182</v>
      </c>
      <c r="I2" s="1504"/>
      <c r="J2" s="1504"/>
      <c r="K2" s="1505"/>
      <c r="L2" s="1505"/>
      <c r="M2" s="1506"/>
    </row>
    <row r="3" spans="2:16" x14ac:dyDescent="0.2">
      <c r="B3" s="1082" t="s">
        <v>3</v>
      </c>
      <c r="C3" s="14"/>
      <c r="D3" s="1083" t="s">
        <v>149</v>
      </c>
      <c r="E3" s="868" t="s">
        <v>183</v>
      </c>
      <c r="F3" s="1084" t="s">
        <v>184</v>
      </c>
      <c r="H3" s="1082" t="s">
        <v>3</v>
      </c>
      <c r="I3" s="14"/>
      <c r="J3" s="1083" t="s">
        <v>149</v>
      </c>
      <c r="K3" s="868" t="s">
        <v>183</v>
      </c>
      <c r="L3" s="868" t="s">
        <v>184</v>
      </c>
      <c r="M3" s="1084" t="s">
        <v>185</v>
      </c>
      <c r="O3" s="1085"/>
    </row>
    <row r="4" spans="2:16" x14ac:dyDescent="0.2">
      <c r="B4" s="1086">
        <v>29221</v>
      </c>
      <c r="C4" s="1087">
        <v>36526</v>
      </c>
      <c r="D4" s="1088"/>
      <c r="E4" s="596"/>
      <c r="F4" s="1089"/>
      <c r="H4" s="1086">
        <v>29221</v>
      </c>
      <c r="I4" s="1087">
        <v>36526</v>
      </c>
      <c r="J4" s="1081">
        <v>1</v>
      </c>
      <c r="K4" s="596"/>
      <c r="L4" s="596"/>
      <c r="M4" s="1089"/>
      <c r="O4" s="1085"/>
      <c r="P4" s="1090"/>
    </row>
    <row r="5" spans="2:16" x14ac:dyDescent="0.2">
      <c r="B5" s="1091">
        <v>29784</v>
      </c>
      <c r="C5" s="1092">
        <v>36724</v>
      </c>
      <c r="D5" s="68">
        <f>C5-$C$4+1</f>
        <v>199</v>
      </c>
      <c r="E5" s="1093"/>
      <c r="F5" s="1094">
        <v>1981</v>
      </c>
      <c r="H5" s="1091">
        <v>29267</v>
      </c>
      <c r="I5" s="1092">
        <v>36572</v>
      </c>
      <c r="J5" s="509">
        <f>I5-$I$4+1</f>
        <v>47</v>
      </c>
      <c r="K5" s="1093">
        <v>1980</v>
      </c>
      <c r="L5" s="1093"/>
      <c r="M5" s="1080"/>
      <c r="O5" s="1085"/>
    </row>
    <row r="6" spans="2:16" x14ac:dyDescent="0.2">
      <c r="B6" s="1091">
        <v>29960</v>
      </c>
      <c r="C6" s="1092">
        <v>36534</v>
      </c>
      <c r="D6" s="68">
        <f>C6-$C$4+1</f>
        <v>9</v>
      </c>
      <c r="E6" s="1093">
        <v>1982</v>
      </c>
      <c r="F6" s="1080"/>
      <c r="H6" s="1091">
        <v>29443</v>
      </c>
      <c r="I6" s="1092">
        <v>36748</v>
      </c>
      <c r="J6" s="509">
        <f t="shared" ref="J6:J51" si="0">I6-$I$4+1</f>
        <v>223</v>
      </c>
      <c r="K6" s="596"/>
      <c r="L6" s="596"/>
      <c r="M6" s="1080">
        <v>1980</v>
      </c>
      <c r="O6" s="1085"/>
    </row>
    <row r="7" spans="2:16" x14ac:dyDescent="0.2">
      <c r="B7" s="1095">
        <v>30138</v>
      </c>
      <c r="C7" s="1092">
        <v>36713</v>
      </c>
      <c r="D7" s="68">
        <f t="shared" ref="D7:D33" si="1">C7-$C$4+1</f>
        <v>188</v>
      </c>
      <c r="E7" s="1093">
        <v>1982</v>
      </c>
      <c r="F7" s="1080"/>
      <c r="H7" s="1091">
        <v>29621</v>
      </c>
      <c r="I7" s="1092">
        <v>36560</v>
      </c>
      <c r="J7" s="509">
        <f t="shared" si="0"/>
        <v>35</v>
      </c>
      <c r="K7" s="1093"/>
      <c r="L7" s="596"/>
      <c r="M7" s="1080">
        <v>1981</v>
      </c>
      <c r="O7" s="1085"/>
    </row>
    <row r="8" spans="2:16" x14ac:dyDescent="0.2">
      <c r="B8" s="1091">
        <v>30315</v>
      </c>
      <c r="C8" s="1092">
        <v>36890</v>
      </c>
      <c r="D8" s="68">
        <f t="shared" si="1"/>
        <v>365</v>
      </c>
      <c r="E8" s="1093">
        <v>1982</v>
      </c>
      <c r="F8" s="1080"/>
      <c r="H8" s="1091">
        <v>29798</v>
      </c>
      <c r="I8" s="1092">
        <v>36738</v>
      </c>
      <c r="J8" s="509">
        <f t="shared" si="0"/>
        <v>213</v>
      </c>
      <c r="K8" s="1093">
        <v>1981</v>
      </c>
      <c r="L8" s="596"/>
      <c r="M8" s="1080"/>
      <c r="O8" s="1085"/>
    </row>
    <row r="9" spans="2:16" x14ac:dyDescent="0.2">
      <c r="B9" s="1091">
        <v>30492</v>
      </c>
      <c r="C9" s="1092">
        <v>36702</v>
      </c>
      <c r="D9" s="68">
        <f t="shared" si="1"/>
        <v>177</v>
      </c>
      <c r="E9" s="1093"/>
      <c r="F9" s="1094">
        <v>1983</v>
      </c>
      <c r="H9" s="1091">
        <v>29966</v>
      </c>
      <c r="I9" s="1092">
        <v>36540</v>
      </c>
      <c r="J9" s="509">
        <f t="shared" si="0"/>
        <v>15</v>
      </c>
      <c r="K9" s="1093"/>
      <c r="L9" s="1093">
        <v>1982</v>
      </c>
      <c r="M9" s="1080"/>
      <c r="O9" s="1085"/>
    </row>
    <row r="10" spans="2:16" x14ac:dyDescent="0.2">
      <c r="B10" s="1091">
        <v>31171</v>
      </c>
      <c r="C10" s="1092">
        <v>36650</v>
      </c>
      <c r="D10" s="68">
        <f t="shared" si="1"/>
        <v>125</v>
      </c>
      <c r="E10" s="1093">
        <v>1985</v>
      </c>
      <c r="F10" s="1080"/>
      <c r="H10" s="1095">
        <v>30123</v>
      </c>
      <c r="I10" s="1092">
        <v>36698</v>
      </c>
      <c r="J10" s="509">
        <f t="shared" si="0"/>
        <v>173</v>
      </c>
      <c r="K10" s="1093"/>
      <c r="L10" s="1093">
        <v>1982</v>
      </c>
      <c r="M10" s="1080"/>
      <c r="O10" s="1085"/>
    </row>
    <row r="11" spans="2:16" x14ac:dyDescent="0.2">
      <c r="B11" s="1091">
        <v>31348</v>
      </c>
      <c r="C11" s="1092">
        <v>36827</v>
      </c>
      <c r="D11" s="68">
        <f t="shared" si="1"/>
        <v>302</v>
      </c>
      <c r="E11" s="1093">
        <v>1985</v>
      </c>
      <c r="F11" s="1080"/>
      <c r="H11" s="1096">
        <v>30152</v>
      </c>
      <c r="I11" s="1092">
        <v>36727</v>
      </c>
      <c r="J11" s="509">
        <f t="shared" si="0"/>
        <v>202</v>
      </c>
      <c r="K11" s="1093"/>
      <c r="L11" s="1093">
        <v>1982</v>
      </c>
      <c r="M11" s="1080"/>
      <c r="O11" s="1085"/>
    </row>
    <row r="12" spans="2:16" x14ac:dyDescent="0.2">
      <c r="B12" s="1091">
        <v>31526</v>
      </c>
      <c r="C12" s="1092">
        <v>36640</v>
      </c>
      <c r="D12" s="68">
        <f t="shared" si="1"/>
        <v>115</v>
      </c>
      <c r="E12" s="1093">
        <v>1986</v>
      </c>
      <c r="F12" s="1080"/>
      <c r="H12" s="1086">
        <v>30300</v>
      </c>
      <c r="I12" s="1092">
        <v>36875</v>
      </c>
      <c r="J12" s="509">
        <f t="shared" si="0"/>
        <v>350</v>
      </c>
      <c r="K12" s="1093"/>
      <c r="L12" s="1093">
        <v>1982</v>
      </c>
      <c r="M12" s="1080"/>
      <c r="O12" s="1085"/>
    </row>
    <row r="13" spans="2:16" x14ac:dyDescent="0.2">
      <c r="B13" s="1091">
        <v>31702</v>
      </c>
      <c r="C13" s="1092">
        <v>36816</v>
      </c>
      <c r="D13" s="68">
        <f t="shared" si="1"/>
        <v>291</v>
      </c>
      <c r="E13" s="1093">
        <v>1986</v>
      </c>
      <c r="F13" s="1080"/>
      <c r="H13" s="1086">
        <v>30478</v>
      </c>
      <c r="I13" s="1092">
        <v>36688</v>
      </c>
      <c r="J13" s="509">
        <f t="shared" si="0"/>
        <v>163</v>
      </c>
      <c r="K13" s="1093">
        <v>1983</v>
      </c>
      <c r="L13" s="1093"/>
      <c r="M13" s="1080"/>
      <c r="O13" s="1085"/>
    </row>
    <row r="14" spans="2:16" x14ac:dyDescent="0.2">
      <c r="B14" s="1091">
        <v>32057</v>
      </c>
      <c r="C14" s="1092">
        <v>36806</v>
      </c>
      <c r="D14" s="68">
        <f t="shared" si="1"/>
        <v>281</v>
      </c>
      <c r="E14" s="1093"/>
      <c r="F14" s="1080">
        <v>1987</v>
      </c>
      <c r="H14" s="1086">
        <v>30654</v>
      </c>
      <c r="I14" s="1092">
        <v>36864</v>
      </c>
      <c r="J14" s="509">
        <f t="shared" si="0"/>
        <v>339</v>
      </c>
      <c r="K14" s="1093"/>
      <c r="L14" s="1093"/>
      <c r="M14" s="1080">
        <v>1983</v>
      </c>
      <c r="O14" s="1085"/>
    </row>
    <row r="15" spans="2:16" x14ac:dyDescent="0.2">
      <c r="B15" s="1091">
        <v>32382</v>
      </c>
      <c r="C15" s="1092">
        <v>36765</v>
      </c>
      <c r="D15" s="68">
        <f t="shared" si="1"/>
        <v>240</v>
      </c>
      <c r="E15" s="1093"/>
      <c r="F15" s="1094">
        <v>1988</v>
      </c>
      <c r="H15" s="1086">
        <v>30832</v>
      </c>
      <c r="I15" s="1092">
        <v>36676</v>
      </c>
      <c r="J15" s="509">
        <f t="shared" si="0"/>
        <v>151</v>
      </c>
      <c r="K15" s="1093"/>
      <c r="L15" s="1093"/>
      <c r="M15" s="1080">
        <v>1984</v>
      </c>
      <c r="O15" s="1085"/>
    </row>
    <row r="16" spans="2:16" x14ac:dyDescent="0.2">
      <c r="B16" s="1091">
        <v>32559</v>
      </c>
      <c r="C16" s="1092">
        <v>36576</v>
      </c>
      <c r="D16" s="68">
        <f t="shared" si="1"/>
        <v>51</v>
      </c>
      <c r="E16" s="1097">
        <v>1989</v>
      </c>
      <c r="F16" s="1080"/>
      <c r="H16" s="1086">
        <v>31008</v>
      </c>
      <c r="I16" s="1092">
        <v>36852</v>
      </c>
      <c r="J16" s="509">
        <f t="shared" si="0"/>
        <v>327</v>
      </c>
      <c r="K16" s="1093">
        <v>1984</v>
      </c>
      <c r="L16" s="1093"/>
      <c r="M16" s="1080"/>
      <c r="O16" s="1085"/>
    </row>
    <row r="17" spans="2:15" x14ac:dyDescent="0.2">
      <c r="B17" s="1091">
        <v>32737</v>
      </c>
      <c r="C17" s="1092">
        <v>36755</v>
      </c>
      <c r="D17" s="68">
        <f t="shared" si="1"/>
        <v>230</v>
      </c>
      <c r="E17" s="1097">
        <v>1989</v>
      </c>
      <c r="F17" s="1080"/>
      <c r="H17" s="1086">
        <v>31186</v>
      </c>
      <c r="I17" s="1092">
        <v>36665</v>
      </c>
      <c r="J17" s="509">
        <f t="shared" si="0"/>
        <v>140</v>
      </c>
      <c r="K17" s="1093"/>
      <c r="L17" s="1093">
        <v>1985</v>
      </c>
      <c r="M17" s="1080"/>
      <c r="O17" s="1085"/>
    </row>
    <row r="18" spans="2:15" x14ac:dyDescent="0.2">
      <c r="B18" s="1091">
        <v>32913</v>
      </c>
      <c r="C18" s="1092">
        <v>36565</v>
      </c>
      <c r="D18" s="68">
        <f t="shared" si="1"/>
        <v>40</v>
      </c>
      <c r="E18" s="1097">
        <v>1990</v>
      </c>
      <c r="F18" s="1080"/>
      <c r="H18" s="1086">
        <v>31363</v>
      </c>
      <c r="I18" s="1092">
        <v>36842</v>
      </c>
      <c r="J18" s="509">
        <f t="shared" si="0"/>
        <v>317</v>
      </c>
      <c r="K18" s="1093">
        <v>1985</v>
      </c>
      <c r="L18" s="1093"/>
      <c r="M18" s="1080"/>
      <c r="O18" s="1085"/>
    </row>
    <row r="19" spans="2:15" x14ac:dyDescent="0.2">
      <c r="B19" s="1091">
        <v>33091</v>
      </c>
      <c r="C19" s="1092">
        <v>36744</v>
      </c>
      <c r="D19" s="68">
        <f t="shared" si="1"/>
        <v>219</v>
      </c>
      <c r="E19" s="1093"/>
      <c r="F19" s="1094">
        <v>1990</v>
      </c>
      <c r="H19" s="1086">
        <v>31511</v>
      </c>
      <c r="I19" s="1092">
        <v>36625</v>
      </c>
      <c r="J19" s="509">
        <f t="shared" si="0"/>
        <v>100</v>
      </c>
      <c r="K19" s="1093"/>
      <c r="L19" s="1093">
        <v>1986</v>
      </c>
      <c r="M19" s="1080"/>
      <c r="O19" s="1085"/>
    </row>
    <row r="20" spans="2:15" x14ac:dyDescent="0.2">
      <c r="B20" s="1091">
        <v>33593</v>
      </c>
      <c r="C20" s="1092">
        <v>36881</v>
      </c>
      <c r="D20" s="68">
        <f t="shared" si="1"/>
        <v>356</v>
      </c>
      <c r="E20" s="1093"/>
      <c r="F20" s="1094">
        <v>1991</v>
      </c>
      <c r="H20" s="1086">
        <v>31688</v>
      </c>
      <c r="I20" s="1092">
        <v>36802</v>
      </c>
      <c r="J20" s="509">
        <f t="shared" si="0"/>
        <v>277</v>
      </c>
      <c r="K20" s="1093">
        <v>1986</v>
      </c>
      <c r="L20" s="1093"/>
      <c r="M20" s="1080"/>
      <c r="O20" s="1085"/>
    </row>
    <row r="21" spans="2:15" x14ac:dyDescent="0.2">
      <c r="B21" s="1091">
        <v>33770</v>
      </c>
      <c r="C21" s="1092">
        <v>36692</v>
      </c>
      <c r="D21" s="68">
        <f t="shared" si="1"/>
        <v>167</v>
      </c>
      <c r="E21" s="1093"/>
      <c r="F21" s="1094">
        <v>1992</v>
      </c>
      <c r="H21" s="1086">
        <v>31865</v>
      </c>
      <c r="I21" s="1092">
        <v>36614</v>
      </c>
      <c r="J21" s="509">
        <f t="shared" si="0"/>
        <v>89</v>
      </c>
      <c r="K21" s="1093"/>
      <c r="L21" s="1093"/>
      <c r="M21" s="1080">
        <v>1987</v>
      </c>
      <c r="O21" s="1085"/>
    </row>
    <row r="22" spans="2:15" x14ac:dyDescent="0.2">
      <c r="B22" s="1091">
        <v>33948</v>
      </c>
      <c r="C22" s="1092">
        <v>36870</v>
      </c>
      <c r="D22" s="68">
        <f t="shared" si="1"/>
        <v>345</v>
      </c>
      <c r="E22" s="1097">
        <v>1992</v>
      </c>
      <c r="F22" s="1080"/>
      <c r="H22" s="1086">
        <v>32043</v>
      </c>
      <c r="I22" s="1092">
        <v>36792</v>
      </c>
      <c r="J22" s="509">
        <f t="shared" si="0"/>
        <v>267</v>
      </c>
      <c r="K22" s="1093"/>
      <c r="L22" s="1093"/>
      <c r="M22" s="1080">
        <v>1987</v>
      </c>
      <c r="O22" s="1085"/>
    </row>
    <row r="23" spans="2:15" x14ac:dyDescent="0.2">
      <c r="B23" s="1091">
        <v>34124</v>
      </c>
      <c r="C23" s="1092">
        <v>36681</v>
      </c>
      <c r="D23" s="68">
        <f t="shared" si="1"/>
        <v>156</v>
      </c>
      <c r="E23" s="1097">
        <v>1993</v>
      </c>
      <c r="F23" s="1080"/>
      <c r="H23" s="1086">
        <v>32220</v>
      </c>
      <c r="I23" s="1092">
        <v>36603</v>
      </c>
      <c r="J23" s="509">
        <f t="shared" si="0"/>
        <v>78</v>
      </c>
      <c r="K23" s="1093">
        <v>1988</v>
      </c>
      <c r="L23" s="1093"/>
      <c r="M23" s="1080"/>
      <c r="O23" s="1085"/>
    </row>
    <row r="24" spans="2:15" x14ac:dyDescent="0.2">
      <c r="B24" s="1091">
        <v>34302</v>
      </c>
      <c r="C24" s="1092">
        <v>36859</v>
      </c>
      <c r="D24" s="68">
        <f t="shared" si="1"/>
        <v>334</v>
      </c>
      <c r="E24" s="1097">
        <v>1993</v>
      </c>
      <c r="F24" s="1080"/>
      <c r="H24" s="1086">
        <v>32397</v>
      </c>
      <c r="I24" s="1092">
        <v>36780</v>
      </c>
      <c r="J24" s="509">
        <f t="shared" si="0"/>
        <v>255</v>
      </c>
      <c r="K24" s="1093"/>
      <c r="L24" s="1093"/>
      <c r="M24" s="1080">
        <v>1988</v>
      </c>
      <c r="O24" s="1085"/>
    </row>
    <row r="25" spans="2:15" x14ac:dyDescent="0.2">
      <c r="B25" s="1091">
        <v>34479</v>
      </c>
      <c r="C25" s="1092">
        <v>36671</v>
      </c>
      <c r="D25" s="68">
        <f t="shared" si="1"/>
        <v>146</v>
      </c>
      <c r="E25" s="1093"/>
      <c r="F25" s="1094">
        <v>1994</v>
      </c>
      <c r="H25" s="1086">
        <v>32574</v>
      </c>
      <c r="I25" s="1092">
        <v>36592</v>
      </c>
      <c r="J25" s="509">
        <f t="shared" si="0"/>
        <v>67</v>
      </c>
      <c r="K25" s="1093"/>
      <c r="L25" s="1093">
        <v>1989</v>
      </c>
      <c r="M25" s="1080"/>
      <c r="O25" s="1085"/>
    </row>
    <row r="26" spans="2:15" x14ac:dyDescent="0.2">
      <c r="B26" s="1091">
        <v>34804</v>
      </c>
      <c r="C26" s="1092">
        <v>36631</v>
      </c>
      <c r="D26" s="68">
        <f t="shared" si="1"/>
        <v>106</v>
      </c>
      <c r="E26" s="1093"/>
      <c r="F26" s="1094">
        <v>1995</v>
      </c>
      <c r="H26" s="1086">
        <v>32751</v>
      </c>
      <c r="I26" s="1092">
        <v>36769</v>
      </c>
      <c r="J26" s="509">
        <f t="shared" si="0"/>
        <v>244</v>
      </c>
      <c r="K26" s="1093"/>
      <c r="L26" s="1093">
        <v>1989</v>
      </c>
      <c r="M26" s="1080"/>
      <c r="O26" s="1085"/>
    </row>
    <row r="27" spans="2:15" x14ac:dyDescent="0.2">
      <c r="B27" s="1091">
        <v>35159</v>
      </c>
      <c r="C27" s="1092">
        <v>36620</v>
      </c>
      <c r="D27" s="68">
        <f t="shared" si="1"/>
        <v>95</v>
      </c>
      <c r="E27" s="1097">
        <v>1996</v>
      </c>
      <c r="F27" s="1080"/>
      <c r="H27" s="1086">
        <v>32899</v>
      </c>
      <c r="I27" s="1092">
        <v>36551</v>
      </c>
      <c r="J27" s="509">
        <f t="shared" si="0"/>
        <v>26</v>
      </c>
      <c r="K27" s="1093"/>
      <c r="L27" s="1093"/>
      <c r="M27" s="1080">
        <v>1990</v>
      </c>
      <c r="O27" s="1085"/>
    </row>
    <row r="28" spans="2:15" x14ac:dyDescent="0.2">
      <c r="B28" s="1091">
        <v>35335</v>
      </c>
      <c r="C28" s="1092">
        <v>36796</v>
      </c>
      <c r="D28" s="68">
        <f t="shared" si="1"/>
        <v>271</v>
      </c>
      <c r="E28" s="1097">
        <v>1996</v>
      </c>
      <c r="F28" s="1080"/>
      <c r="H28" s="1086">
        <v>33076</v>
      </c>
      <c r="I28" s="1092">
        <v>36729</v>
      </c>
      <c r="J28" s="509">
        <f t="shared" si="0"/>
        <v>204</v>
      </c>
      <c r="K28" s="1093">
        <v>1990</v>
      </c>
      <c r="L28" s="1093"/>
      <c r="M28" s="1080"/>
      <c r="O28" s="1085"/>
    </row>
    <row r="29" spans="2:15" x14ac:dyDescent="0.2">
      <c r="B29" s="1091">
        <v>35513</v>
      </c>
      <c r="C29" s="1092">
        <v>36609</v>
      </c>
      <c r="D29" s="68">
        <f t="shared" si="1"/>
        <v>84</v>
      </c>
      <c r="E29" s="1093"/>
      <c r="F29" s="1094">
        <v>1997</v>
      </c>
      <c r="H29" s="1086">
        <v>33253</v>
      </c>
      <c r="I29" s="1092">
        <v>36540</v>
      </c>
      <c r="J29" s="509">
        <f t="shared" si="0"/>
        <v>15</v>
      </c>
      <c r="K29" s="1093"/>
      <c r="L29" s="1093"/>
      <c r="M29" s="1080">
        <v>1991</v>
      </c>
      <c r="O29" s="1085"/>
    </row>
    <row r="30" spans="2:15" x14ac:dyDescent="0.2">
      <c r="B30" s="1091">
        <v>35689</v>
      </c>
      <c r="C30" s="1092">
        <v>36785</v>
      </c>
      <c r="D30" s="68">
        <f t="shared" si="1"/>
        <v>260</v>
      </c>
      <c r="E30" s="1097">
        <v>1997</v>
      </c>
      <c r="F30" s="1080"/>
      <c r="H30" s="1086">
        <v>33430</v>
      </c>
      <c r="I30" s="1092">
        <v>36718</v>
      </c>
      <c r="J30" s="509">
        <f t="shared" si="0"/>
        <v>193</v>
      </c>
      <c r="K30" s="1093">
        <v>1991</v>
      </c>
      <c r="L30" s="1093"/>
      <c r="M30" s="1080"/>
      <c r="O30" s="1085"/>
    </row>
    <row r="31" spans="2:15" x14ac:dyDescent="0.2">
      <c r="B31" s="1091">
        <v>36369</v>
      </c>
      <c r="C31" s="1092">
        <v>36735</v>
      </c>
      <c r="D31" s="68">
        <f t="shared" si="1"/>
        <v>210</v>
      </c>
      <c r="E31" s="1093"/>
      <c r="F31" s="1094">
        <v>1999</v>
      </c>
      <c r="H31" s="1086">
        <v>33607</v>
      </c>
      <c r="I31" s="1092">
        <v>36529</v>
      </c>
      <c r="J31" s="509">
        <f t="shared" si="0"/>
        <v>4</v>
      </c>
      <c r="K31" s="1093"/>
      <c r="L31" s="1093"/>
      <c r="M31" s="1080">
        <v>1992</v>
      </c>
      <c r="O31" s="1085"/>
    </row>
    <row r="32" spans="2:15" x14ac:dyDescent="0.2">
      <c r="B32" s="1091">
        <v>36546</v>
      </c>
      <c r="C32" s="1092">
        <v>36546</v>
      </c>
      <c r="D32" s="68">
        <f t="shared" si="1"/>
        <v>21</v>
      </c>
      <c r="E32" s="1097">
        <v>2000</v>
      </c>
      <c r="F32" s="1080"/>
      <c r="H32" s="1086">
        <v>33785</v>
      </c>
      <c r="I32" s="1092">
        <v>36707</v>
      </c>
      <c r="J32" s="509">
        <f t="shared" si="0"/>
        <v>182</v>
      </c>
      <c r="K32" s="1093">
        <v>1992</v>
      </c>
      <c r="L32" s="1093"/>
      <c r="M32" s="1080"/>
    </row>
    <row r="33" spans="2:13" ht="13.5" thickBot="1" x14ac:dyDescent="0.25">
      <c r="B33" s="1098">
        <v>36723</v>
      </c>
      <c r="C33" s="1099">
        <v>36723</v>
      </c>
      <c r="D33" s="1100">
        <f t="shared" si="1"/>
        <v>198</v>
      </c>
      <c r="E33" s="1101">
        <v>2000</v>
      </c>
      <c r="F33" s="393"/>
      <c r="H33" s="1086">
        <v>33962</v>
      </c>
      <c r="I33" s="1092">
        <v>36884</v>
      </c>
      <c r="J33" s="509">
        <f t="shared" si="0"/>
        <v>359</v>
      </c>
      <c r="K33" s="1093"/>
      <c r="L33" s="1093">
        <v>1992</v>
      </c>
      <c r="M33" s="1080"/>
    </row>
    <row r="34" spans="2:13" x14ac:dyDescent="0.2">
      <c r="B34" s="1102"/>
      <c r="C34" s="489"/>
      <c r="D34" s="489"/>
      <c r="H34" s="1086">
        <v>34110</v>
      </c>
      <c r="I34" s="1092">
        <v>36667</v>
      </c>
      <c r="J34" s="509">
        <f t="shared" si="0"/>
        <v>142</v>
      </c>
      <c r="K34" s="1093"/>
      <c r="L34" s="1093">
        <v>1993</v>
      </c>
      <c r="M34" s="1080"/>
    </row>
    <row r="35" spans="2:13" x14ac:dyDescent="0.2">
      <c r="B35" s="1507" t="s">
        <v>186</v>
      </c>
      <c r="C35" s="1508"/>
      <c r="D35" s="1508"/>
      <c r="E35" s="1508"/>
      <c r="F35" s="1508"/>
      <c r="H35" s="1086">
        <v>34286</v>
      </c>
      <c r="I35" s="1092">
        <v>36843</v>
      </c>
      <c r="J35" s="509">
        <f t="shared" si="0"/>
        <v>318</v>
      </c>
      <c r="K35" s="1093"/>
      <c r="L35" s="1093">
        <v>1993</v>
      </c>
      <c r="M35" s="1080"/>
    </row>
    <row r="36" spans="2:13" x14ac:dyDescent="0.2">
      <c r="B36" s="1102"/>
      <c r="C36" s="489"/>
      <c r="D36" s="489"/>
      <c r="H36" s="1086">
        <v>34464</v>
      </c>
      <c r="I36" s="1092">
        <v>36656</v>
      </c>
      <c r="J36" s="509">
        <f t="shared" si="0"/>
        <v>131</v>
      </c>
      <c r="K36" s="1093"/>
      <c r="L36" s="1093"/>
      <c r="M36" s="1080">
        <v>1994</v>
      </c>
    </row>
    <row r="37" spans="2:13" x14ac:dyDescent="0.2">
      <c r="B37" s="1102"/>
      <c r="C37" s="489"/>
      <c r="D37" s="489"/>
      <c r="H37" s="1086">
        <v>34641</v>
      </c>
      <c r="I37" s="1092">
        <v>36833</v>
      </c>
      <c r="J37" s="509">
        <f t="shared" si="0"/>
        <v>308</v>
      </c>
      <c r="K37" s="1093">
        <v>1994</v>
      </c>
      <c r="L37" s="1093"/>
      <c r="M37" s="1080"/>
    </row>
    <row r="38" spans="2:13" x14ac:dyDescent="0.2">
      <c r="B38" s="1102"/>
      <c r="C38" s="489"/>
      <c r="D38" s="489"/>
      <c r="H38" s="1086">
        <v>34818</v>
      </c>
      <c r="I38" s="1092">
        <v>36645</v>
      </c>
      <c r="J38" s="509">
        <f t="shared" si="0"/>
        <v>120</v>
      </c>
      <c r="K38" s="1093"/>
      <c r="L38" s="1093"/>
      <c r="M38" s="1080">
        <v>1995</v>
      </c>
    </row>
    <row r="39" spans="2:13" x14ac:dyDescent="0.2">
      <c r="D39" s="489"/>
      <c r="E39" s="489"/>
      <c r="H39" s="1086">
        <v>34996</v>
      </c>
      <c r="I39" s="1092">
        <v>36823</v>
      </c>
      <c r="J39" s="509">
        <f t="shared" si="0"/>
        <v>298</v>
      </c>
      <c r="K39" s="1093">
        <v>1995</v>
      </c>
      <c r="L39" s="1093"/>
      <c r="M39" s="1080"/>
    </row>
    <row r="40" spans="2:13" x14ac:dyDescent="0.2">
      <c r="C40" s="489"/>
      <c r="D40" s="489"/>
      <c r="H40" s="1086">
        <v>35172</v>
      </c>
      <c r="I40" s="1092">
        <v>36633</v>
      </c>
      <c r="J40" s="509">
        <f t="shared" si="0"/>
        <v>108</v>
      </c>
      <c r="K40" s="1093"/>
      <c r="L40" s="1093">
        <v>1996</v>
      </c>
      <c r="M40" s="1080"/>
    </row>
    <row r="41" spans="2:13" x14ac:dyDescent="0.2">
      <c r="C41" s="489"/>
      <c r="D41" s="489"/>
      <c r="H41" s="1086">
        <v>35350</v>
      </c>
      <c r="I41" s="1092">
        <v>36811</v>
      </c>
      <c r="J41" s="509">
        <f t="shared" si="0"/>
        <v>286</v>
      </c>
      <c r="K41" s="1093"/>
      <c r="L41" s="1093">
        <v>1996</v>
      </c>
      <c r="M41" s="1080"/>
    </row>
    <row r="42" spans="2:13" x14ac:dyDescent="0.2">
      <c r="C42" s="489"/>
      <c r="D42" s="489"/>
      <c r="H42" s="1086">
        <v>35498</v>
      </c>
      <c r="I42" s="1092">
        <v>36594</v>
      </c>
      <c r="J42" s="509">
        <f t="shared" si="0"/>
        <v>69</v>
      </c>
      <c r="K42" s="1093">
        <v>1997</v>
      </c>
      <c r="L42" s="1093"/>
      <c r="M42" s="1080"/>
    </row>
    <row r="43" spans="2:13" x14ac:dyDescent="0.2">
      <c r="C43" s="489"/>
      <c r="D43" s="489"/>
      <c r="H43" s="1086">
        <v>35674</v>
      </c>
      <c r="I43" s="1092">
        <v>36770</v>
      </c>
      <c r="J43" s="509">
        <f t="shared" si="0"/>
        <v>245</v>
      </c>
      <c r="K43" s="1093"/>
      <c r="L43" s="1093">
        <v>1997</v>
      </c>
      <c r="M43" s="1080"/>
    </row>
    <row r="44" spans="2:13" x14ac:dyDescent="0.2">
      <c r="C44" s="489"/>
      <c r="D44" s="489"/>
      <c r="H44" s="1086">
        <v>35852</v>
      </c>
      <c r="I44" s="1092">
        <v>36582</v>
      </c>
      <c r="J44" s="509">
        <f t="shared" si="0"/>
        <v>57</v>
      </c>
      <c r="K44" s="1093">
        <v>1998</v>
      </c>
      <c r="L44" s="1093"/>
      <c r="M44" s="1080"/>
    </row>
    <row r="45" spans="2:13" x14ac:dyDescent="0.2">
      <c r="C45" s="489"/>
      <c r="D45" s="489"/>
      <c r="H45" s="1086">
        <v>36029</v>
      </c>
      <c r="I45" s="1092">
        <v>36760</v>
      </c>
      <c r="J45" s="509">
        <f t="shared" si="0"/>
        <v>235</v>
      </c>
      <c r="K45" s="1093"/>
      <c r="L45" s="1093"/>
      <c r="M45" s="1080">
        <v>1998</v>
      </c>
    </row>
    <row r="46" spans="2:13" x14ac:dyDescent="0.2">
      <c r="C46" s="1079"/>
      <c r="D46" s="1079"/>
      <c r="H46" s="1086">
        <v>36480</v>
      </c>
      <c r="I46" s="1092">
        <v>36846</v>
      </c>
      <c r="J46" s="509">
        <f t="shared" si="0"/>
        <v>321</v>
      </c>
      <c r="K46" s="1093"/>
      <c r="L46" s="1093"/>
      <c r="M46" s="1080">
        <v>1999</v>
      </c>
    </row>
    <row r="47" spans="2:13" x14ac:dyDescent="0.2">
      <c r="C47" s="1079"/>
      <c r="D47" s="1079"/>
      <c r="H47" s="1086">
        <v>36383</v>
      </c>
      <c r="I47" s="1092">
        <v>36749</v>
      </c>
      <c r="J47" s="509">
        <f t="shared" si="0"/>
        <v>224</v>
      </c>
      <c r="K47" s="1093">
        <v>1999</v>
      </c>
      <c r="L47" s="1093"/>
      <c r="M47" s="1080"/>
    </row>
    <row r="48" spans="2:13" x14ac:dyDescent="0.2">
      <c r="C48" s="1079"/>
      <c r="D48" s="1079"/>
      <c r="H48" s="1086">
        <v>36561</v>
      </c>
      <c r="I48" s="1092">
        <v>36561</v>
      </c>
      <c r="J48" s="509">
        <f t="shared" si="0"/>
        <v>36</v>
      </c>
      <c r="K48" s="1093"/>
      <c r="L48" s="1093">
        <v>2000</v>
      </c>
      <c r="M48" s="1080"/>
    </row>
    <row r="49" spans="3:13" x14ac:dyDescent="0.2">
      <c r="C49" s="1079"/>
      <c r="D49" s="1079"/>
      <c r="H49" s="1086">
        <v>36708</v>
      </c>
      <c r="I49" s="1092">
        <v>36708</v>
      </c>
      <c r="J49" s="509">
        <f t="shared" si="0"/>
        <v>183</v>
      </c>
      <c r="K49" s="1093"/>
      <c r="L49" s="1093">
        <v>2000</v>
      </c>
      <c r="M49" s="1080"/>
    </row>
    <row r="50" spans="3:13" x14ac:dyDescent="0.2">
      <c r="C50" s="1079"/>
      <c r="D50" s="1079"/>
      <c r="H50" s="1086">
        <v>36738</v>
      </c>
      <c r="I50" s="1092">
        <v>36738</v>
      </c>
      <c r="J50" s="509">
        <f t="shared" si="0"/>
        <v>213</v>
      </c>
      <c r="K50" s="1093"/>
      <c r="L50" s="1093">
        <v>2000</v>
      </c>
      <c r="M50" s="1080"/>
    </row>
    <row r="51" spans="3:13" ht="13.5" thickBot="1" x14ac:dyDescent="0.25">
      <c r="C51" s="1079"/>
      <c r="D51" s="1079"/>
      <c r="H51" s="1103">
        <v>36885</v>
      </c>
      <c r="I51" s="1099">
        <v>36885</v>
      </c>
      <c r="J51" s="1104">
        <f t="shared" si="0"/>
        <v>360</v>
      </c>
      <c r="K51" s="1105"/>
      <c r="L51" s="1105">
        <v>2000</v>
      </c>
      <c r="M51" s="393"/>
    </row>
    <row r="52" spans="3:13" x14ac:dyDescent="0.2">
      <c r="C52" s="1079"/>
      <c r="D52" s="1079"/>
      <c r="H52" s="1509" t="s">
        <v>225</v>
      </c>
      <c r="I52" s="1415"/>
      <c r="J52" s="1415"/>
      <c r="K52" s="1415"/>
      <c r="L52" s="1415"/>
      <c r="M52" s="1415"/>
    </row>
    <row r="53" spans="3:13" x14ac:dyDescent="0.2">
      <c r="C53" s="1079"/>
      <c r="D53" s="1079"/>
    </row>
    <row r="54" spans="3:13" x14ac:dyDescent="0.2">
      <c r="C54" s="1079"/>
      <c r="D54" s="1079"/>
    </row>
    <row r="55" spans="3:13" x14ac:dyDescent="0.2">
      <c r="C55" s="1079"/>
      <c r="D55" s="1079"/>
    </row>
    <row r="56" spans="3:13" x14ac:dyDescent="0.2">
      <c r="C56" s="1079"/>
      <c r="D56" s="1079"/>
    </row>
    <row r="57" spans="3:13" x14ac:dyDescent="0.2">
      <c r="C57" s="1079"/>
      <c r="D57" s="1079"/>
    </row>
    <row r="58" spans="3:13" x14ac:dyDescent="0.2">
      <c r="C58" s="1079"/>
      <c r="D58" s="1079"/>
    </row>
    <row r="59" spans="3:13" x14ac:dyDescent="0.2">
      <c r="C59" s="1079"/>
      <c r="D59" s="1079"/>
    </row>
    <row r="60" spans="3:13" x14ac:dyDescent="0.2">
      <c r="C60" s="1079"/>
      <c r="D60" s="1079"/>
    </row>
    <row r="61" spans="3:13" x14ac:dyDescent="0.2">
      <c r="C61" s="1079"/>
      <c r="D61" s="1079"/>
    </row>
    <row r="62" spans="3:13" x14ac:dyDescent="0.2">
      <c r="C62" s="1079"/>
      <c r="D62" s="1079"/>
    </row>
    <row r="63" spans="3:13" x14ac:dyDescent="0.2">
      <c r="C63" s="1079"/>
      <c r="D63" s="1079"/>
    </row>
    <row r="64" spans="3:13" x14ac:dyDescent="0.2">
      <c r="C64" s="1079"/>
      <c r="D64" s="1079"/>
    </row>
    <row r="65" spans="3:4" x14ac:dyDescent="0.2">
      <c r="C65" s="1079"/>
      <c r="D65" s="1079"/>
    </row>
    <row r="66" spans="3:4" x14ac:dyDescent="0.2">
      <c r="C66" s="1079"/>
      <c r="D66" s="1079"/>
    </row>
  </sheetData>
  <mergeCells count="4">
    <mergeCell ref="B2:F2"/>
    <mergeCell ref="H2:M2"/>
    <mergeCell ref="B35:F35"/>
    <mergeCell ref="H52:M52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7"/>
  <sheetViews>
    <sheetView tabSelected="1" workbookViewId="0">
      <selection activeCell="R14" sqref="R14"/>
    </sheetView>
  </sheetViews>
  <sheetFormatPr baseColWidth="10" defaultRowHeight="12.75" x14ac:dyDescent="0.2"/>
  <cols>
    <col min="2" max="2" width="5.5703125" customWidth="1"/>
    <col min="3" max="4" width="6.140625" customWidth="1"/>
    <col min="5" max="5" width="9.140625" customWidth="1"/>
    <col min="6" max="6" width="11" customWidth="1"/>
    <col min="7" max="7" width="10.28515625" customWidth="1"/>
    <col min="8" max="8" width="11.140625" customWidth="1"/>
    <col min="9" max="9" width="8.42578125" customWidth="1"/>
    <col min="10" max="10" width="8.5703125" customWidth="1"/>
  </cols>
  <sheetData>
    <row r="1" spans="1:23" ht="13.5" thickBot="1" x14ac:dyDescent="0.25">
      <c r="K1" s="3"/>
      <c r="L1" s="3"/>
      <c r="S1" s="3"/>
      <c r="T1" s="3"/>
      <c r="U1" s="3"/>
      <c r="V1" s="3"/>
      <c r="W1" s="3"/>
    </row>
    <row r="2" spans="1:23" ht="15" x14ac:dyDescent="0.25">
      <c r="A2" s="1170"/>
      <c r="B2" s="1510" t="s">
        <v>194</v>
      </c>
      <c r="C2" s="1511"/>
      <c r="D2" s="1511"/>
      <c r="E2" s="1511"/>
      <c r="F2" s="1511"/>
      <c r="G2" s="1511"/>
      <c r="H2" s="1415"/>
      <c r="I2" s="1171"/>
      <c r="J2" s="384"/>
      <c r="K2" s="1003"/>
      <c r="L2" s="1172"/>
      <c r="M2" s="1173"/>
      <c r="N2" s="1174"/>
      <c r="O2" s="1175"/>
      <c r="P2" s="346"/>
      <c r="Q2" s="345"/>
      <c r="S2" s="3"/>
      <c r="T2" s="3"/>
      <c r="U2" s="3"/>
      <c r="V2" s="3"/>
      <c r="W2" s="3"/>
    </row>
    <row r="3" spans="1:23" ht="15" x14ac:dyDescent="0.2">
      <c r="A3" s="1170"/>
      <c r="B3" s="1176"/>
      <c r="C3" s="1177" t="s">
        <v>195</v>
      </c>
      <c r="D3" s="1239" t="s">
        <v>196</v>
      </c>
      <c r="E3" s="1178">
        <v>7.3500000000000001E+22</v>
      </c>
      <c r="F3" s="1177" t="s">
        <v>197</v>
      </c>
      <c r="G3" s="1179">
        <v>379729000</v>
      </c>
      <c r="H3" s="1179" t="s">
        <v>198</v>
      </c>
      <c r="I3" s="1180">
        <v>6.67E-11</v>
      </c>
      <c r="J3" s="1181" t="s">
        <v>199</v>
      </c>
      <c r="K3" s="1182"/>
      <c r="L3" s="1183"/>
      <c r="M3" s="346"/>
      <c r="N3" s="346"/>
      <c r="O3" s="1173"/>
      <c r="P3" s="346"/>
      <c r="Q3" s="345"/>
      <c r="S3" s="3"/>
      <c r="T3" s="3"/>
      <c r="U3" s="3"/>
      <c r="V3" s="3"/>
      <c r="W3" s="3"/>
    </row>
    <row r="4" spans="1:23" ht="16.5" thickBot="1" x14ac:dyDescent="0.25">
      <c r="B4" s="1252"/>
      <c r="C4" s="1249" t="s">
        <v>200</v>
      </c>
      <c r="D4" s="1251" t="s">
        <v>196</v>
      </c>
      <c r="E4" s="1250">
        <v>1.99E+30</v>
      </c>
      <c r="F4" s="1249" t="s">
        <v>201</v>
      </c>
      <c r="G4" s="1248">
        <v>149600000000</v>
      </c>
      <c r="H4" s="1236" t="s">
        <v>215</v>
      </c>
      <c r="I4" s="1247">
        <f>2*$I$3*$E$4*$G$3/($G$4)^3</f>
        <v>3.0108414825290062E-5</v>
      </c>
      <c r="J4" s="1246" t="s">
        <v>202</v>
      </c>
      <c r="K4" s="3"/>
      <c r="L4" s="3"/>
      <c r="S4" s="3"/>
      <c r="T4" s="3"/>
      <c r="U4" s="3"/>
      <c r="V4" s="3"/>
      <c r="W4" s="3"/>
    </row>
    <row r="5" spans="1:23" ht="15.75" x14ac:dyDescent="0.2">
      <c r="B5" s="1189" t="s">
        <v>203</v>
      </c>
      <c r="C5" s="1190" t="s">
        <v>204</v>
      </c>
      <c r="D5" s="1191" t="s">
        <v>205</v>
      </c>
      <c r="E5" s="1190" t="s">
        <v>206</v>
      </c>
      <c r="F5" s="1245" t="s">
        <v>207</v>
      </c>
      <c r="G5" s="1242"/>
      <c r="H5" s="1242"/>
      <c r="I5" s="1254"/>
      <c r="J5" s="1255"/>
      <c r="S5" s="3"/>
      <c r="T5" s="3"/>
      <c r="U5" s="3"/>
      <c r="V5" s="3"/>
      <c r="W5" s="3"/>
    </row>
    <row r="6" spans="1:23" x14ac:dyDescent="0.2">
      <c r="B6" s="1229">
        <v>0</v>
      </c>
      <c r="C6" s="82">
        <f t="shared" ref="C6:C46" si="0">14*COS(B6)</f>
        <v>14</v>
      </c>
      <c r="D6" s="26">
        <f t="shared" ref="D6:D46" si="1">14*SIN(B6)</f>
        <v>0</v>
      </c>
      <c r="E6" s="1192">
        <f t="shared" ref="E6:E46" si="2">$I$4*COS(B6)</f>
        <v>3.0108414825290062E-5</v>
      </c>
      <c r="F6" s="1244">
        <f t="shared" ref="F6:F46" si="3">-0.5*$I$4*SIN(B6)</f>
        <v>0</v>
      </c>
      <c r="G6" s="26"/>
      <c r="H6" s="26"/>
      <c r="I6" s="26"/>
      <c r="J6" s="26"/>
      <c r="K6" s="1194"/>
      <c r="L6" s="489"/>
      <c r="S6" s="3"/>
      <c r="T6" s="3"/>
      <c r="U6" s="3"/>
      <c r="V6" s="3"/>
      <c r="W6" s="3"/>
    </row>
    <row r="7" spans="1:23" x14ac:dyDescent="0.2">
      <c r="B7" s="356">
        <f t="shared" ref="B7:B46" si="4">B6+PI()/20</f>
        <v>0.15707963267948966</v>
      </c>
      <c r="C7" s="82">
        <f t="shared" si="0"/>
        <v>13.827636768331928</v>
      </c>
      <c r="D7" s="26">
        <f t="shared" si="1"/>
        <v>2.190082510563232</v>
      </c>
      <c r="E7" s="1195">
        <f t="shared" si="2"/>
        <v>2.9737730276740785E-5</v>
      </c>
      <c r="F7" s="1244">
        <f t="shared" si="3"/>
        <v>-2.3549968832018036E-6</v>
      </c>
      <c r="G7" s="26"/>
      <c r="H7" s="26"/>
      <c r="I7" s="26"/>
      <c r="J7" s="26"/>
      <c r="K7" s="1194"/>
      <c r="L7" s="489"/>
      <c r="S7" s="3"/>
      <c r="T7" s="3"/>
      <c r="U7" s="3"/>
      <c r="V7" s="3"/>
      <c r="W7" s="3"/>
    </row>
    <row r="8" spans="1:23" x14ac:dyDescent="0.2">
      <c r="B8" s="356">
        <f t="shared" si="4"/>
        <v>0.31415926535897931</v>
      </c>
      <c r="C8" s="82">
        <f t="shared" si="0"/>
        <v>13.314791228132149</v>
      </c>
      <c r="D8" s="26">
        <f t="shared" si="1"/>
        <v>4.3262379212492634</v>
      </c>
      <c r="E8" s="1195">
        <f t="shared" si="2"/>
        <v>2.8634804114909719E-5</v>
      </c>
      <c r="F8" s="1244">
        <f t="shared" si="3"/>
        <v>-4.6520059273526212E-6</v>
      </c>
      <c r="G8" s="26"/>
      <c r="H8" s="26"/>
      <c r="I8" s="26"/>
      <c r="J8" s="26"/>
      <c r="K8" s="1194"/>
      <c r="L8" s="489"/>
      <c r="S8" s="3"/>
      <c r="T8" s="3"/>
      <c r="U8" s="3"/>
      <c r="V8" s="3"/>
      <c r="W8" s="3"/>
    </row>
    <row r="9" spans="1:23" x14ac:dyDescent="0.2">
      <c r="B9" s="356">
        <f t="shared" si="4"/>
        <v>0.47123889803846897</v>
      </c>
      <c r="C9" s="82">
        <f t="shared" si="0"/>
        <v>12.47409133863715</v>
      </c>
      <c r="D9" s="26">
        <f t="shared" si="1"/>
        <v>6.3558669963536545</v>
      </c>
      <c r="E9" s="1195">
        <f t="shared" si="2"/>
        <v>2.6826794042303223E-5</v>
      </c>
      <c r="F9" s="1244">
        <f t="shared" si="3"/>
        <v>-6.8344671464495064E-6</v>
      </c>
      <c r="G9" s="26"/>
      <c r="H9" s="26"/>
      <c r="I9" s="26"/>
      <c r="J9" s="26"/>
      <c r="K9" s="554"/>
      <c r="S9" s="3"/>
      <c r="T9" s="3"/>
      <c r="U9" s="3"/>
      <c r="V9" s="3"/>
      <c r="W9" s="3"/>
    </row>
    <row r="10" spans="1:23" x14ac:dyDescent="0.2">
      <c r="B10" s="356">
        <f t="shared" si="4"/>
        <v>0.62831853071795862</v>
      </c>
      <c r="C10" s="82">
        <f t="shared" si="0"/>
        <v>11.326237921249264</v>
      </c>
      <c r="D10" s="26">
        <f t="shared" si="1"/>
        <v>8.2289935320946235</v>
      </c>
      <c r="E10" s="1195">
        <f t="shared" si="2"/>
        <v>2.4358219267350275E-5</v>
      </c>
      <c r="F10" s="1244">
        <f t="shared" si="3"/>
        <v>-8.8486411021047793E-6</v>
      </c>
      <c r="G10" s="26"/>
      <c r="H10" s="26"/>
      <c r="I10" s="26"/>
      <c r="J10" s="26"/>
      <c r="K10" s="554"/>
      <c r="S10" s="3"/>
      <c r="T10" s="3"/>
      <c r="U10" s="3"/>
      <c r="V10" s="3"/>
      <c r="W10" s="3"/>
    </row>
    <row r="11" spans="1:23" x14ac:dyDescent="0.2">
      <c r="B11" s="356">
        <f t="shared" si="4"/>
        <v>0.78539816339744828</v>
      </c>
      <c r="C11" s="82">
        <f t="shared" si="0"/>
        <v>9.8994949366116654</v>
      </c>
      <c r="D11" s="26">
        <f t="shared" si="1"/>
        <v>9.8994949366116636</v>
      </c>
      <c r="E11" s="1195">
        <f t="shared" si="2"/>
        <v>2.1289864293740183E-5</v>
      </c>
      <c r="F11" s="1244">
        <f t="shared" si="3"/>
        <v>-1.064493214687009E-5</v>
      </c>
      <c r="G11" s="26"/>
      <c r="H11" s="26"/>
      <c r="I11" s="26"/>
      <c r="J11" s="26"/>
      <c r="K11" s="554"/>
      <c r="S11" s="3"/>
      <c r="T11" s="3"/>
      <c r="U11" s="3"/>
      <c r="V11" s="3"/>
      <c r="W11" s="3"/>
    </row>
    <row r="12" spans="1:23" x14ac:dyDescent="0.2">
      <c r="B12" s="356">
        <f t="shared" si="4"/>
        <v>0.94247779607693793</v>
      </c>
      <c r="C12" s="82">
        <f t="shared" si="0"/>
        <v>8.2289935320946235</v>
      </c>
      <c r="D12" s="26">
        <f t="shared" si="1"/>
        <v>11.326237921249264</v>
      </c>
      <c r="E12" s="1195">
        <f t="shared" si="2"/>
        <v>1.7697282204209559E-5</v>
      </c>
      <c r="F12" s="1244">
        <f t="shared" si="3"/>
        <v>-1.2179109633675137E-5</v>
      </c>
      <c r="G12" s="26"/>
      <c r="H12" s="26"/>
      <c r="I12" s="26"/>
      <c r="J12" s="26"/>
      <c r="K12" s="554"/>
      <c r="S12" s="3"/>
      <c r="T12" s="3"/>
      <c r="U12" s="3"/>
      <c r="V12" s="3"/>
      <c r="W12" s="3"/>
    </row>
    <row r="13" spans="1:23" x14ac:dyDescent="0.2">
      <c r="B13" s="356">
        <f t="shared" si="4"/>
        <v>1.0995574287564276</v>
      </c>
      <c r="C13" s="82">
        <f t="shared" si="0"/>
        <v>6.3558669963536554</v>
      </c>
      <c r="D13" s="26">
        <f t="shared" si="1"/>
        <v>12.474091338637148</v>
      </c>
      <c r="E13" s="1195">
        <f t="shared" si="2"/>
        <v>1.3668934292899015E-5</v>
      </c>
      <c r="F13" s="1244">
        <f t="shared" si="3"/>
        <v>-1.341339702115161E-5</v>
      </c>
      <c r="G13" s="26"/>
      <c r="H13" s="26"/>
      <c r="I13" s="26"/>
      <c r="J13" s="26"/>
      <c r="K13" s="554"/>
      <c r="S13" s="3"/>
      <c r="T13" s="3"/>
      <c r="U13" s="3"/>
      <c r="V13" s="3"/>
      <c r="W13" s="3"/>
    </row>
    <row r="14" spans="1:23" x14ac:dyDescent="0.2">
      <c r="B14" s="356">
        <f t="shared" si="4"/>
        <v>1.2566370614359172</v>
      </c>
      <c r="C14" s="82">
        <f t="shared" si="0"/>
        <v>4.3262379212492643</v>
      </c>
      <c r="D14" s="26">
        <f t="shared" si="1"/>
        <v>13.314791228132149</v>
      </c>
      <c r="E14" s="1195">
        <f t="shared" si="2"/>
        <v>9.3040118547052441E-6</v>
      </c>
      <c r="F14" s="1244">
        <f t="shared" si="3"/>
        <v>-1.431740205745486E-5</v>
      </c>
      <c r="G14" s="26"/>
      <c r="H14" s="26"/>
      <c r="I14" s="26"/>
      <c r="J14" s="26"/>
      <c r="K14" s="554"/>
      <c r="S14" s="3"/>
      <c r="T14" s="3"/>
      <c r="U14" s="3"/>
      <c r="V14" s="3"/>
      <c r="W14" s="3"/>
    </row>
    <row r="15" spans="1:23" x14ac:dyDescent="0.2">
      <c r="B15" s="356">
        <f t="shared" si="4"/>
        <v>1.4137166941154069</v>
      </c>
      <c r="C15" s="82">
        <f t="shared" si="0"/>
        <v>2.1900825105632329</v>
      </c>
      <c r="D15" s="26">
        <f t="shared" si="1"/>
        <v>13.827636768331928</v>
      </c>
      <c r="E15" s="1195">
        <f t="shared" si="2"/>
        <v>4.7099937664036089E-6</v>
      </c>
      <c r="F15" s="1244">
        <f t="shared" si="3"/>
        <v>-1.4868865138370393E-5</v>
      </c>
      <c r="G15" s="26"/>
      <c r="H15" s="26"/>
      <c r="I15" s="26"/>
      <c r="J15" s="26"/>
      <c r="K15" s="554"/>
      <c r="S15" s="3"/>
      <c r="T15" s="3"/>
      <c r="U15" s="3"/>
      <c r="V15" s="3"/>
      <c r="W15" s="3"/>
    </row>
    <row r="16" spans="1:23" x14ac:dyDescent="0.2">
      <c r="B16" s="356">
        <f t="shared" si="4"/>
        <v>1.5707963267948966</v>
      </c>
      <c r="C16" s="82">
        <f t="shared" si="0"/>
        <v>8.5760391843603401E-16</v>
      </c>
      <c r="D16" s="26">
        <f t="shared" si="1"/>
        <v>14</v>
      </c>
      <c r="E16" s="1195">
        <f t="shared" si="2"/>
        <v>1.8443638951475954E-21</v>
      </c>
      <c r="F16" s="1244">
        <f t="shared" si="3"/>
        <v>-1.5054207412645031E-5</v>
      </c>
      <c r="G16" s="26"/>
      <c r="H16" s="26"/>
      <c r="I16" s="26"/>
      <c r="J16" s="26"/>
      <c r="K16" s="554"/>
      <c r="S16" s="3"/>
      <c r="T16" s="3"/>
      <c r="U16" s="3"/>
      <c r="V16" s="3"/>
      <c r="W16" s="3"/>
    </row>
    <row r="17" spans="2:23" x14ac:dyDescent="0.2">
      <c r="B17" s="356">
        <f t="shared" si="4"/>
        <v>1.7278759594743862</v>
      </c>
      <c r="C17" s="82">
        <f t="shared" si="0"/>
        <v>-2.1900825105632316</v>
      </c>
      <c r="D17" s="26">
        <f t="shared" si="1"/>
        <v>13.827636768331928</v>
      </c>
      <c r="E17" s="1195">
        <f t="shared" si="2"/>
        <v>-4.7099937664036055E-6</v>
      </c>
      <c r="F17" s="1244">
        <f t="shared" si="3"/>
        <v>-1.4868865138370393E-5</v>
      </c>
      <c r="G17" s="26"/>
      <c r="H17" s="26"/>
      <c r="I17" s="26"/>
      <c r="J17" s="26"/>
      <c r="K17" s="554"/>
      <c r="S17" s="3"/>
      <c r="T17" s="3"/>
      <c r="U17" s="3"/>
      <c r="V17" s="3"/>
      <c r="W17" s="3"/>
    </row>
    <row r="18" spans="2:23" x14ac:dyDescent="0.2">
      <c r="B18" s="356">
        <f t="shared" si="4"/>
        <v>1.8849555921538759</v>
      </c>
      <c r="C18" s="82">
        <f t="shared" si="0"/>
        <v>-4.3262379212492625</v>
      </c>
      <c r="D18" s="26">
        <f t="shared" si="1"/>
        <v>13.314791228132151</v>
      </c>
      <c r="E18" s="1195">
        <f t="shared" si="2"/>
        <v>-9.3040118547052407E-6</v>
      </c>
      <c r="F18" s="1244">
        <f t="shared" si="3"/>
        <v>-1.4317402057454861E-5</v>
      </c>
      <c r="G18" s="26"/>
      <c r="H18" s="26"/>
      <c r="I18" s="26"/>
      <c r="J18" s="26"/>
      <c r="K18" s="554"/>
      <c r="S18" s="3"/>
      <c r="T18" s="3"/>
      <c r="U18" s="3"/>
      <c r="V18" s="3"/>
      <c r="W18" s="3"/>
    </row>
    <row r="19" spans="2:23" x14ac:dyDescent="0.2">
      <c r="B19" s="356">
        <f t="shared" si="4"/>
        <v>2.0420352248333655</v>
      </c>
      <c r="C19" s="82">
        <f t="shared" si="0"/>
        <v>-6.3558669963536536</v>
      </c>
      <c r="D19" s="26">
        <f t="shared" si="1"/>
        <v>12.47409133863715</v>
      </c>
      <c r="E19" s="1195">
        <f t="shared" si="2"/>
        <v>-1.3668934292899011E-5</v>
      </c>
      <c r="F19" s="1244">
        <f t="shared" si="3"/>
        <v>-1.3413397021151612E-5</v>
      </c>
      <c r="G19" s="26"/>
      <c r="H19" s="26"/>
      <c r="I19" s="26"/>
      <c r="J19" s="26"/>
      <c r="K19" s="554"/>
      <c r="S19" s="3"/>
      <c r="T19" s="3"/>
      <c r="U19" s="3"/>
      <c r="V19" s="3"/>
      <c r="W19" s="3"/>
    </row>
    <row r="20" spans="2:23" x14ac:dyDescent="0.2">
      <c r="B20" s="356">
        <f t="shared" si="4"/>
        <v>2.1991148575128552</v>
      </c>
      <c r="C20" s="82">
        <f t="shared" si="0"/>
        <v>-8.2289935320946217</v>
      </c>
      <c r="D20" s="26">
        <f t="shared" si="1"/>
        <v>11.326237921249264</v>
      </c>
      <c r="E20" s="1195">
        <f t="shared" si="2"/>
        <v>-1.7697282204209555E-5</v>
      </c>
      <c r="F20" s="1244">
        <f t="shared" si="3"/>
        <v>-1.2179109633675137E-5</v>
      </c>
      <c r="G20" s="26"/>
      <c r="H20" s="26"/>
      <c r="I20" s="26"/>
      <c r="J20" s="26"/>
      <c r="K20" s="554"/>
      <c r="S20" s="3"/>
      <c r="T20" s="3"/>
      <c r="U20" s="3"/>
      <c r="V20" s="3"/>
      <c r="W20" s="3"/>
    </row>
    <row r="21" spans="2:23" x14ac:dyDescent="0.2">
      <c r="B21" s="356">
        <f t="shared" si="4"/>
        <v>2.3561944901923448</v>
      </c>
      <c r="C21" s="82">
        <f t="shared" si="0"/>
        <v>-9.8994949366116636</v>
      </c>
      <c r="D21" s="26">
        <f t="shared" si="1"/>
        <v>9.8994949366116654</v>
      </c>
      <c r="E21" s="1195">
        <f t="shared" si="2"/>
        <v>-2.128986429374018E-5</v>
      </c>
      <c r="F21" s="1244">
        <f t="shared" si="3"/>
        <v>-1.0644932146870092E-5</v>
      </c>
      <c r="G21" s="26"/>
      <c r="H21" s="26"/>
      <c r="I21" s="26"/>
      <c r="J21" s="26"/>
      <c r="K21" s="554"/>
      <c r="S21" s="3"/>
      <c r="T21" s="3"/>
      <c r="U21" s="3"/>
      <c r="V21" s="3"/>
      <c r="W21" s="3"/>
    </row>
    <row r="22" spans="2:23" x14ac:dyDescent="0.2">
      <c r="B22" s="356">
        <f t="shared" si="4"/>
        <v>2.5132741228718345</v>
      </c>
      <c r="C22" s="82">
        <f t="shared" si="0"/>
        <v>-11.326237921249263</v>
      </c>
      <c r="D22" s="26">
        <f t="shared" si="1"/>
        <v>8.2289935320946253</v>
      </c>
      <c r="E22" s="1195">
        <f t="shared" si="2"/>
        <v>-2.4358219267350272E-5</v>
      </c>
      <c r="F22" s="1244">
        <f t="shared" si="3"/>
        <v>-8.848641102104781E-6</v>
      </c>
      <c r="G22" s="26"/>
      <c r="H22" s="26"/>
      <c r="I22" s="26"/>
      <c r="J22" s="26"/>
      <c r="K22" s="554"/>
      <c r="S22" s="3"/>
      <c r="T22" s="3"/>
      <c r="U22" s="3"/>
      <c r="V22" s="3"/>
      <c r="W22" s="3"/>
    </row>
    <row r="23" spans="2:23" x14ac:dyDescent="0.2">
      <c r="B23" s="356">
        <f t="shared" si="4"/>
        <v>2.6703537555513241</v>
      </c>
      <c r="C23" s="82">
        <f t="shared" si="0"/>
        <v>-12.474091338637148</v>
      </c>
      <c r="D23" s="26">
        <f t="shared" si="1"/>
        <v>6.3558669963536563</v>
      </c>
      <c r="E23" s="1195">
        <f t="shared" si="2"/>
        <v>-2.682679404230322E-5</v>
      </c>
      <c r="F23" s="1244">
        <f t="shared" si="3"/>
        <v>-6.8344671464495081E-6</v>
      </c>
      <c r="G23" s="26"/>
      <c r="H23" s="26"/>
      <c r="I23" s="26"/>
      <c r="J23" s="26"/>
      <c r="K23" s="554"/>
      <c r="S23" s="3"/>
      <c r="T23" s="3"/>
      <c r="U23" s="3"/>
      <c r="V23" s="3"/>
      <c r="W23" s="3"/>
    </row>
    <row r="24" spans="2:23" x14ac:dyDescent="0.2">
      <c r="B24" s="356">
        <f t="shared" si="4"/>
        <v>2.8274333882308138</v>
      </c>
      <c r="C24" s="82">
        <f t="shared" si="0"/>
        <v>-13.314791228132149</v>
      </c>
      <c r="D24" s="26">
        <f t="shared" si="1"/>
        <v>4.3262379212492652</v>
      </c>
      <c r="E24" s="1195">
        <f t="shared" si="2"/>
        <v>-2.8634804114909719E-5</v>
      </c>
      <c r="F24" s="1244">
        <f t="shared" si="3"/>
        <v>-4.6520059273526229E-6</v>
      </c>
      <c r="G24" s="26"/>
      <c r="H24" s="26"/>
      <c r="I24" s="26"/>
      <c r="J24" s="26"/>
      <c r="K24" s="554"/>
      <c r="S24" s="3"/>
      <c r="T24" s="3"/>
      <c r="U24" s="3"/>
      <c r="V24" s="3"/>
      <c r="W24" s="3"/>
    </row>
    <row r="25" spans="2:23" x14ac:dyDescent="0.2">
      <c r="B25" s="356">
        <f t="shared" si="4"/>
        <v>2.9845130209103035</v>
      </c>
      <c r="C25" s="82">
        <f t="shared" si="0"/>
        <v>-13.827636768331928</v>
      </c>
      <c r="D25" s="26">
        <f t="shared" si="1"/>
        <v>2.1900825105632338</v>
      </c>
      <c r="E25" s="1195">
        <f t="shared" si="2"/>
        <v>-2.9737730276740782E-5</v>
      </c>
      <c r="F25" s="1244">
        <f t="shared" si="3"/>
        <v>-2.3549968832018053E-6</v>
      </c>
      <c r="G25" s="26"/>
      <c r="H25" s="26"/>
      <c r="I25" s="26"/>
      <c r="J25" s="26"/>
      <c r="K25" s="554"/>
      <c r="S25" s="3"/>
      <c r="T25" s="3"/>
      <c r="U25" s="3"/>
      <c r="V25" s="3"/>
      <c r="W25" s="3"/>
    </row>
    <row r="26" spans="2:23" x14ac:dyDescent="0.2">
      <c r="B26" s="356">
        <f t="shared" si="4"/>
        <v>3.1415926535897931</v>
      </c>
      <c r="C26" s="82">
        <f t="shared" si="0"/>
        <v>-14</v>
      </c>
      <c r="D26" s="26">
        <f t="shared" si="1"/>
        <v>1.715207836872068E-15</v>
      </c>
      <c r="E26" s="1195">
        <f t="shared" si="2"/>
        <v>-3.0108414825290062E-5</v>
      </c>
      <c r="F26" s="1244">
        <f t="shared" si="3"/>
        <v>-1.8443638951475954E-21</v>
      </c>
      <c r="G26" s="26"/>
      <c r="H26" s="26"/>
      <c r="I26" s="26"/>
      <c r="J26" s="26"/>
      <c r="K26" s="554"/>
      <c r="S26" s="3"/>
      <c r="T26" s="3"/>
      <c r="U26" s="3"/>
      <c r="V26" s="3"/>
      <c r="W26" s="3"/>
    </row>
    <row r="27" spans="2:23" x14ac:dyDescent="0.2">
      <c r="B27" s="356">
        <f t="shared" si="4"/>
        <v>3.2986722862692828</v>
      </c>
      <c r="C27" s="82">
        <f t="shared" si="0"/>
        <v>-13.827636768331928</v>
      </c>
      <c r="D27" s="26">
        <f t="shared" si="1"/>
        <v>-2.1900825105632302</v>
      </c>
      <c r="E27" s="1195">
        <f t="shared" si="2"/>
        <v>-2.9737730276740785E-5</v>
      </c>
      <c r="F27" s="1244">
        <f t="shared" si="3"/>
        <v>2.3549968832018015E-6</v>
      </c>
      <c r="G27" s="26"/>
      <c r="H27" s="26"/>
      <c r="I27" s="26"/>
      <c r="J27" s="26"/>
      <c r="K27" s="554"/>
      <c r="S27" s="3"/>
      <c r="T27" s="3"/>
      <c r="U27" s="3"/>
      <c r="V27" s="3"/>
      <c r="W27" s="3"/>
    </row>
    <row r="28" spans="2:23" x14ac:dyDescent="0.2">
      <c r="B28" s="356">
        <f t="shared" si="4"/>
        <v>3.4557519189487724</v>
      </c>
      <c r="C28" s="82">
        <f t="shared" si="0"/>
        <v>-13.314791228132151</v>
      </c>
      <c r="D28" s="26">
        <f t="shared" si="1"/>
        <v>-4.3262379212492617</v>
      </c>
      <c r="E28" s="1195">
        <f t="shared" si="2"/>
        <v>-2.8634804114909723E-5</v>
      </c>
      <c r="F28" s="1244">
        <f t="shared" si="3"/>
        <v>4.6520059273526195E-6</v>
      </c>
      <c r="G28" s="26"/>
      <c r="H28" s="26"/>
      <c r="I28" s="26"/>
      <c r="J28" s="26"/>
      <c r="K28" s="554"/>
      <c r="S28" s="3"/>
      <c r="T28" s="3"/>
      <c r="U28" s="3"/>
      <c r="V28" s="3"/>
      <c r="W28" s="3"/>
    </row>
    <row r="29" spans="2:23" x14ac:dyDescent="0.2">
      <c r="B29" s="356">
        <f t="shared" si="4"/>
        <v>3.6128315516282621</v>
      </c>
      <c r="C29" s="82">
        <f t="shared" si="0"/>
        <v>-12.47409133863715</v>
      </c>
      <c r="D29" s="26">
        <f t="shared" si="1"/>
        <v>-6.3558669963536536</v>
      </c>
      <c r="E29" s="1195">
        <f t="shared" si="2"/>
        <v>-2.6826794042303223E-5</v>
      </c>
      <c r="F29" s="1244">
        <f t="shared" si="3"/>
        <v>6.8344671464495056E-6</v>
      </c>
      <c r="G29" s="26"/>
      <c r="H29" s="26"/>
      <c r="I29" s="26"/>
      <c r="J29" s="26"/>
      <c r="K29" s="554"/>
      <c r="S29" s="3"/>
      <c r="T29" s="3"/>
      <c r="U29" s="3"/>
      <c r="V29" s="3"/>
      <c r="W29" s="3"/>
    </row>
    <row r="30" spans="2:23" x14ac:dyDescent="0.2">
      <c r="B30" s="356">
        <f t="shared" si="4"/>
        <v>3.7699111843077517</v>
      </c>
      <c r="C30" s="82">
        <f t="shared" si="0"/>
        <v>-11.326237921249266</v>
      </c>
      <c r="D30" s="26">
        <f t="shared" si="1"/>
        <v>-8.2289935320946217</v>
      </c>
      <c r="E30" s="1195">
        <f t="shared" si="2"/>
        <v>-2.4358219267350278E-5</v>
      </c>
      <c r="F30" s="1244">
        <f t="shared" si="3"/>
        <v>8.8486411021047776E-6</v>
      </c>
      <c r="G30" s="26"/>
      <c r="H30" s="26"/>
      <c r="I30" s="26"/>
      <c r="J30" s="26"/>
      <c r="K30" s="554"/>
      <c r="S30" s="3"/>
      <c r="T30" s="3"/>
      <c r="U30" s="3"/>
      <c r="V30" s="3"/>
      <c r="W30" s="3"/>
    </row>
    <row r="31" spans="2:23" x14ac:dyDescent="0.2">
      <c r="B31" s="356">
        <f t="shared" si="4"/>
        <v>3.9269908169872414</v>
      </c>
      <c r="C31" s="82">
        <f t="shared" si="0"/>
        <v>-9.8994949366116671</v>
      </c>
      <c r="D31" s="26">
        <f t="shared" si="1"/>
        <v>-9.8994949366116636</v>
      </c>
      <c r="E31" s="1195">
        <f t="shared" si="2"/>
        <v>-2.1289864293740187E-5</v>
      </c>
      <c r="F31" s="1244">
        <f t="shared" si="3"/>
        <v>1.064493214687009E-5</v>
      </c>
      <c r="G31" s="26"/>
      <c r="H31" s="26"/>
      <c r="I31" s="26"/>
      <c r="J31" s="26"/>
      <c r="K31" s="554"/>
      <c r="S31" s="3"/>
      <c r="T31" s="3"/>
      <c r="U31" s="3"/>
      <c r="V31" s="3"/>
      <c r="W31" s="3"/>
    </row>
    <row r="32" spans="2:23" x14ac:dyDescent="0.2">
      <c r="B32" s="356">
        <f t="shared" si="4"/>
        <v>4.0840704496667311</v>
      </c>
      <c r="C32" s="82">
        <f t="shared" si="0"/>
        <v>-8.2289935320946253</v>
      </c>
      <c r="D32" s="26">
        <f t="shared" si="1"/>
        <v>-11.326237921249263</v>
      </c>
      <c r="E32" s="1195">
        <f t="shared" si="2"/>
        <v>-1.7697282204209562E-5</v>
      </c>
      <c r="F32" s="1244">
        <f t="shared" si="3"/>
        <v>1.2179109633675136E-5</v>
      </c>
      <c r="G32" s="26"/>
      <c r="H32" s="26"/>
      <c r="I32" s="26"/>
      <c r="J32" s="26"/>
      <c r="K32" s="554"/>
      <c r="S32" s="3"/>
      <c r="T32" s="3"/>
      <c r="U32" s="3"/>
      <c r="V32" s="3"/>
      <c r="W32" s="3"/>
    </row>
    <row r="33" spans="2:23" x14ac:dyDescent="0.2">
      <c r="B33" s="356">
        <f t="shared" si="4"/>
        <v>4.2411500823462207</v>
      </c>
      <c r="C33" s="82">
        <f t="shared" si="0"/>
        <v>-6.3558669963536572</v>
      </c>
      <c r="D33" s="26">
        <f t="shared" si="1"/>
        <v>-12.474091338637148</v>
      </c>
      <c r="E33" s="1195">
        <f t="shared" si="2"/>
        <v>-1.3668934292899018E-5</v>
      </c>
      <c r="F33" s="1244">
        <f t="shared" si="3"/>
        <v>1.341339702115161E-5</v>
      </c>
      <c r="G33" s="26"/>
      <c r="H33" s="26"/>
      <c r="I33" s="26"/>
      <c r="J33" s="26"/>
      <c r="K33" s="554"/>
      <c r="S33" s="3"/>
      <c r="T33" s="3"/>
      <c r="U33" s="3"/>
      <c r="V33" s="3"/>
      <c r="W33" s="3"/>
    </row>
    <row r="34" spans="2:23" x14ac:dyDescent="0.2">
      <c r="B34" s="356">
        <f t="shared" si="4"/>
        <v>4.3982297150257104</v>
      </c>
      <c r="C34" s="82">
        <f t="shared" si="0"/>
        <v>-4.3262379212492661</v>
      </c>
      <c r="D34" s="26">
        <f t="shared" si="1"/>
        <v>-13.314791228132149</v>
      </c>
      <c r="E34" s="1195">
        <f t="shared" si="2"/>
        <v>-9.3040118547052475E-6</v>
      </c>
      <c r="F34" s="1244">
        <f t="shared" si="3"/>
        <v>1.431740205745486E-5</v>
      </c>
      <c r="G34" s="26"/>
      <c r="H34" s="26"/>
      <c r="I34" s="26"/>
      <c r="J34" s="26"/>
      <c r="K34" s="554"/>
      <c r="S34" s="3"/>
      <c r="T34" s="3"/>
      <c r="U34" s="3"/>
      <c r="V34" s="3"/>
      <c r="W34" s="3"/>
    </row>
    <row r="35" spans="2:23" x14ac:dyDescent="0.2">
      <c r="B35" s="356">
        <f t="shared" si="4"/>
        <v>4.5553093477052</v>
      </c>
      <c r="C35" s="82">
        <f t="shared" si="0"/>
        <v>-2.1900825105632347</v>
      </c>
      <c r="D35" s="26">
        <f t="shared" si="1"/>
        <v>-13.827636768331928</v>
      </c>
      <c r="E35" s="1195">
        <f t="shared" si="2"/>
        <v>-4.7099937664036123E-6</v>
      </c>
      <c r="F35" s="1244">
        <f t="shared" si="3"/>
        <v>1.4868865138370391E-5</v>
      </c>
      <c r="G35" s="26"/>
      <c r="H35" s="26"/>
      <c r="I35" s="26"/>
      <c r="J35" s="26"/>
      <c r="K35" s="554"/>
      <c r="S35" s="3"/>
      <c r="T35" s="3"/>
      <c r="U35" s="3"/>
      <c r="V35" s="3"/>
      <c r="W35" s="3"/>
    </row>
    <row r="36" spans="2:23" x14ac:dyDescent="0.2">
      <c r="B36" s="356">
        <f t="shared" si="4"/>
        <v>4.7123889803846897</v>
      </c>
      <c r="C36" s="82">
        <f t="shared" si="0"/>
        <v>-2.572811755308102E-15</v>
      </c>
      <c r="D36" s="26">
        <f t="shared" si="1"/>
        <v>-14</v>
      </c>
      <c r="E36" s="1195">
        <f t="shared" si="2"/>
        <v>-5.5330916854427863E-21</v>
      </c>
      <c r="F36" s="1244">
        <f t="shared" si="3"/>
        <v>1.5054207412645031E-5</v>
      </c>
      <c r="G36" s="26"/>
      <c r="H36" s="26"/>
      <c r="I36" s="26"/>
      <c r="J36" s="26"/>
      <c r="K36" s="554"/>
      <c r="S36" s="3"/>
      <c r="T36" s="3"/>
      <c r="U36" s="3"/>
      <c r="V36" s="3"/>
      <c r="W36" s="3"/>
    </row>
    <row r="37" spans="2:23" x14ac:dyDescent="0.2">
      <c r="B37" s="356">
        <f t="shared" si="4"/>
        <v>4.8694686130641793</v>
      </c>
      <c r="C37" s="82">
        <f t="shared" si="0"/>
        <v>2.1900825105632293</v>
      </c>
      <c r="D37" s="26">
        <f t="shared" si="1"/>
        <v>-13.827636768331928</v>
      </c>
      <c r="E37" s="1195">
        <f t="shared" si="2"/>
        <v>4.7099937664036013E-6</v>
      </c>
      <c r="F37" s="1244">
        <f t="shared" si="3"/>
        <v>1.4868865138370393E-5</v>
      </c>
      <c r="G37" s="26"/>
      <c r="H37" s="26"/>
      <c r="I37" s="26"/>
      <c r="J37" s="26"/>
      <c r="K37" s="554"/>
      <c r="S37" s="3"/>
      <c r="T37" s="3"/>
      <c r="U37" s="3"/>
      <c r="V37" s="3"/>
      <c r="W37" s="3"/>
    </row>
    <row r="38" spans="2:23" x14ac:dyDescent="0.2">
      <c r="B38" s="356">
        <f t="shared" si="4"/>
        <v>5.026548245743669</v>
      </c>
      <c r="C38" s="82">
        <f t="shared" si="0"/>
        <v>4.3262379212492608</v>
      </c>
      <c r="D38" s="26">
        <f t="shared" si="1"/>
        <v>-13.314791228132151</v>
      </c>
      <c r="E38" s="1195">
        <f t="shared" si="2"/>
        <v>9.3040118547052373E-6</v>
      </c>
      <c r="F38" s="1244">
        <f t="shared" si="3"/>
        <v>1.4317402057454861E-5</v>
      </c>
      <c r="G38" s="26"/>
      <c r="H38" s="26"/>
      <c r="I38" s="26"/>
      <c r="J38" s="26"/>
      <c r="K38" s="554"/>
      <c r="S38" s="3"/>
      <c r="T38" s="3"/>
      <c r="U38" s="3"/>
      <c r="V38" s="3"/>
      <c r="W38" s="3"/>
    </row>
    <row r="39" spans="2:23" x14ac:dyDescent="0.2">
      <c r="B39" s="356">
        <f t="shared" si="4"/>
        <v>5.1836278784231586</v>
      </c>
      <c r="C39" s="82">
        <f t="shared" si="0"/>
        <v>6.3558669963536527</v>
      </c>
      <c r="D39" s="26">
        <f t="shared" si="1"/>
        <v>-12.47409133863715</v>
      </c>
      <c r="E39" s="1195">
        <f t="shared" si="2"/>
        <v>1.3668934292899009E-5</v>
      </c>
      <c r="F39" s="1244">
        <f t="shared" si="3"/>
        <v>1.3413397021151612E-5</v>
      </c>
      <c r="G39" s="26"/>
      <c r="H39" s="1512" t="s">
        <v>224</v>
      </c>
      <c r="I39" s="1513"/>
      <c r="J39" s="26"/>
      <c r="K39" s="554"/>
      <c r="S39" s="3"/>
      <c r="T39" s="3"/>
      <c r="U39" s="3"/>
      <c r="V39" s="3"/>
      <c r="W39" s="3"/>
    </row>
    <row r="40" spans="2:23" ht="13.5" thickBot="1" x14ac:dyDescent="0.25">
      <c r="B40" s="356">
        <f t="shared" si="4"/>
        <v>5.3407075111026483</v>
      </c>
      <c r="C40" s="82">
        <f t="shared" si="0"/>
        <v>8.2289935320946199</v>
      </c>
      <c r="D40" s="26">
        <f t="shared" si="1"/>
        <v>-11.326237921249266</v>
      </c>
      <c r="E40" s="1195">
        <f t="shared" si="2"/>
        <v>1.7697282204209552E-5</v>
      </c>
      <c r="F40" s="1244">
        <f t="shared" si="3"/>
        <v>1.2179109633675139E-5</v>
      </c>
      <c r="G40" s="26"/>
      <c r="H40" s="26"/>
      <c r="I40" s="26"/>
      <c r="J40" s="26"/>
      <c r="K40" s="554"/>
      <c r="S40" s="3"/>
      <c r="T40" s="3"/>
      <c r="U40" s="3"/>
      <c r="V40" s="3"/>
      <c r="W40" s="3"/>
    </row>
    <row r="41" spans="2:23" x14ac:dyDescent="0.2">
      <c r="B41" s="356">
        <f t="shared" si="4"/>
        <v>5.497787143782138</v>
      </c>
      <c r="C41" s="82">
        <f t="shared" si="0"/>
        <v>9.8994949366116636</v>
      </c>
      <c r="D41" s="26">
        <f t="shared" si="1"/>
        <v>-9.8994949366116671</v>
      </c>
      <c r="E41" s="1195">
        <f t="shared" si="2"/>
        <v>2.1289864293740176E-5</v>
      </c>
      <c r="F41" s="1244">
        <f t="shared" si="3"/>
        <v>1.0644932146870093E-5</v>
      </c>
      <c r="G41" s="26"/>
      <c r="H41" s="26"/>
      <c r="I41" s="26"/>
      <c r="J41" s="26"/>
      <c r="K41" s="554"/>
      <c r="L41" s="139" t="s">
        <v>208</v>
      </c>
      <c r="M41" s="384"/>
      <c r="S41" s="3"/>
      <c r="T41" s="3"/>
      <c r="U41" s="3"/>
      <c r="V41" s="3"/>
      <c r="W41" s="3"/>
    </row>
    <row r="42" spans="2:23" x14ac:dyDescent="0.2">
      <c r="B42" s="356">
        <f t="shared" si="4"/>
        <v>5.6548667764616276</v>
      </c>
      <c r="C42" s="82">
        <f t="shared" si="0"/>
        <v>11.326237921249263</v>
      </c>
      <c r="D42" s="26">
        <f t="shared" si="1"/>
        <v>-8.228993532094627</v>
      </c>
      <c r="E42" s="1195">
        <f t="shared" si="2"/>
        <v>2.4358219267350272E-5</v>
      </c>
      <c r="F42" s="1244">
        <f t="shared" si="3"/>
        <v>8.8486411021047827E-6</v>
      </c>
      <c r="G42" s="26"/>
      <c r="H42" s="26"/>
      <c r="I42" s="26"/>
      <c r="J42" s="26"/>
      <c r="K42" s="554"/>
      <c r="L42" s="1196" t="s">
        <v>10</v>
      </c>
      <c r="M42" s="1197" t="s">
        <v>11</v>
      </c>
      <c r="S42" s="3"/>
      <c r="T42" s="3"/>
      <c r="U42" s="3"/>
      <c r="V42" s="3"/>
      <c r="W42" s="3"/>
    </row>
    <row r="43" spans="2:23" x14ac:dyDescent="0.2">
      <c r="B43" s="356">
        <f t="shared" si="4"/>
        <v>5.8119464091411173</v>
      </c>
      <c r="C43" s="82">
        <f t="shared" si="0"/>
        <v>12.474091338637148</v>
      </c>
      <c r="D43" s="26">
        <f t="shared" si="1"/>
        <v>-6.355866996353658</v>
      </c>
      <c r="E43" s="1195">
        <f t="shared" si="2"/>
        <v>2.682679404230322E-5</v>
      </c>
      <c r="F43" s="1244">
        <f t="shared" si="3"/>
        <v>6.8344671464495098E-6</v>
      </c>
      <c r="G43" s="26"/>
      <c r="H43" s="26"/>
      <c r="I43" s="26"/>
      <c r="J43" s="26"/>
      <c r="K43" s="554"/>
      <c r="L43" s="12">
        <v>-14</v>
      </c>
      <c r="M43" s="1228">
        <v>0</v>
      </c>
      <c r="S43" s="3"/>
      <c r="T43" s="3"/>
      <c r="U43" s="3"/>
      <c r="V43" s="3"/>
      <c r="W43" s="3"/>
    </row>
    <row r="44" spans="2:23" ht="13.5" thickBot="1" x14ac:dyDescent="0.25">
      <c r="B44" s="356">
        <f t="shared" si="4"/>
        <v>5.9690260418206069</v>
      </c>
      <c r="C44" s="82">
        <f t="shared" si="0"/>
        <v>13.314791228132149</v>
      </c>
      <c r="D44" s="26">
        <f t="shared" si="1"/>
        <v>-4.326237921249267</v>
      </c>
      <c r="E44" s="1195">
        <f t="shared" si="2"/>
        <v>2.8634804114909719E-5</v>
      </c>
      <c r="F44" s="1244">
        <f t="shared" si="3"/>
        <v>4.6520059273526246E-6</v>
      </c>
      <c r="G44" s="26"/>
      <c r="H44" s="26"/>
      <c r="I44" s="26"/>
      <c r="J44" s="26"/>
      <c r="K44" s="554"/>
      <c r="L44" s="10">
        <v>14</v>
      </c>
      <c r="M44" s="393">
        <v>0</v>
      </c>
      <c r="S44" s="3"/>
      <c r="T44" s="3"/>
      <c r="U44" s="3"/>
      <c r="V44" s="3"/>
      <c r="W44" s="3"/>
    </row>
    <row r="45" spans="2:23" ht="13.5" thickBot="1" x14ac:dyDescent="0.25">
      <c r="B45" s="356">
        <f t="shared" si="4"/>
        <v>6.1261056745000966</v>
      </c>
      <c r="C45" s="82">
        <f t="shared" si="0"/>
        <v>13.827636768331928</v>
      </c>
      <c r="D45" s="26">
        <f t="shared" si="1"/>
        <v>-2.1900825105632356</v>
      </c>
      <c r="E45" s="1195">
        <f t="shared" si="2"/>
        <v>2.9737730276740782E-5</v>
      </c>
      <c r="F45" s="1244">
        <f t="shared" si="3"/>
        <v>2.3549968832018074E-6</v>
      </c>
      <c r="G45" s="26"/>
      <c r="H45" s="26"/>
      <c r="I45" s="26"/>
      <c r="J45" s="26"/>
      <c r="K45" s="554"/>
      <c r="S45" s="3"/>
      <c r="T45" s="3"/>
      <c r="U45" s="3"/>
      <c r="V45" s="3"/>
      <c r="W45" s="3"/>
    </row>
    <row r="46" spans="2:23" ht="13.5" thickBot="1" x14ac:dyDescent="0.25">
      <c r="B46" s="1060">
        <f t="shared" si="4"/>
        <v>6.2831853071795862</v>
      </c>
      <c r="C46" s="129">
        <f t="shared" si="0"/>
        <v>14</v>
      </c>
      <c r="D46" s="265">
        <f t="shared" si="1"/>
        <v>-3.430415673744136E-15</v>
      </c>
      <c r="E46" s="1198">
        <f t="shared" si="2"/>
        <v>3.0108414825290062E-5</v>
      </c>
      <c r="F46" s="1243">
        <f t="shared" si="3"/>
        <v>3.6887277902951909E-21</v>
      </c>
      <c r="G46" s="26"/>
      <c r="H46" s="26"/>
      <c r="I46" s="26"/>
      <c r="J46" s="26"/>
      <c r="K46" s="554"/>
      <c r="L46" s="139" t="s">
        <v>235</v>
      </c>
      <c r="M46" s="384"/>
      <c r="S46" s="3"/>
      <c r="T46" s="3"/>
      <c r="U46" s="3"/>
      <c r="V46" s="3"/>
      <c r="W46" s="3"/>
    </row>
    <row r="47" spans="2:23" ht="13.5" thickBot="1" x14ac:dyDescent="0.25">
      <c r="B47" s="216"/>
      <c r="C47" s="216"/>
      <c r="L47" s="1196" t="s">
        <v>10</v>
      </c>
      <c r="M47" s="1197" t="s">
        <v>11</v>
      </c>
      <c r="S47" s="3"/>
      <c r="T47" s="3"/>
      <c r="U47" s="3"/>
      <c r="V47" s="3"/>
      <c r="W47" s="3"/>
    </row>
    <row r="48" spans="2:23" x14ac:dyDescent="0.2">
      <c r="B48" s="216"/>
      <c r="C48" s="216"/>
      <c r="E48" s="1200" t="s">
        <v>209</v>
      </c>
      <c r="F48" s="1201" t="s">
        <v>10</v>
      </c>
      <c r="G48" s="1202" t="s">
        <v>11</v>
      </c>
      <c r="L48" s="12">
        <v>0</v>
      </c>
      <c r="M48" s="1286">
        <v>0</v>
      </c>
      <c r="S48" s="3"/>
      <c r="T48" s="3"/>
      <c r="U48" s="3"/>
      <c r="V48" s="3"/>
      <c r="W48" s="3"/>
    </row>
    <row r="49" spans="2:23" ht="13.5" thickBot="1" x14ac:dyDescent="0.25">
      <c r="B49" s="216"/>
      <c r="C49" s="216"/>
      <c r="E49" s="1203" t="s">
        <v>210</v>
      </c>
      <c r="F49" s="13">
        <v>0</v>
      </c>
      <c r="G49" s="393">
        <v>0</v>
      </c>
      <c r="L49" s="1291">
        <v>8.23</v>
      </c>
      <c r="M49" s="1292">
        <v>11.33</v>
      </c>
      <c r="S49" s="3"/>
      <c r="T49" s="3"/>
      <c r="U49" s="3"/>
      <c r="V49" s="3"/>
      <c r="W49" s="3"/>
    </row>
    <row r="50" spans="2:23" x14ac:dyDescent="0.2">
      <c r="B50" s="216"/>
      <c r="C50" s="216"/>
      <c r="S50" s="3"/>
      <c r="T50" s="3"/>
      <c r="U50" s="3"/>
      <c r="V50" s="3"/>
      <c r="W50" s="3"/>
    </row>
    <row r="51" spans="2:23" ht="13.5" thickBot="1" x14ac:dyDescent="0.25">
      <c r="B51" s="345"/>
      <c r="C51" s="345"/>
      <c r="D51" s="345"/>
      <c r="E51" s="345"/>
      <c r="F51" s="345"/>
      <c r="G51" s="345"/>
      <c r="H51" s="345"/>
      <c r="I51" s="345"/>
      <c r="J51" s="345"/>
      <c r="S51" s="3"/>
      <c r="T51" s="3"/>
      <c r="U51" s="3"/>
      <c r="V51" s="3"/>
      <c r="W51" s="3"/>
    </row>
    <row r="52" spans="2:23" ht="15" x14ac:dyDescent="0.25">
      <c r="B52" s="1518" t="s">
        <v>223</v>
      </c>
      <c r="C52" s="1519"/>
      <c r="D52" s="1519"/>
      <c r="E52" s="1519"/>
      <c r="F52" s="1519"/>
      <c r="G52" s="1519"/>
      <c r="H52" s="1520"/>
      <c r="I52" s="1516"/>
      <c r="J52" s="1517"/>
      <c r="S52" s="3"/>
      <c r="T52" s="3"/>
      <c r="U52" s="3"/>
      <c r="V52" s="3"/>
      <c r="W52" s="3"/>
    </row>
    <row r="53" spans="2:23" ht="15" x14ac:dyDescent="0.25">
      <c r="B53" s="1521" t="s">
        <v>222</v>
      </c>
      <c r="C53" s="1522"/>
      <c r="D53" s="1522"/>
      <c r="E53" s="1522"/>
      <c r="F53" s="1522"/>
      <c r="G53" s="1522"/>
      <c r="H53" s="1230"/>
      <c r="I53" s="1241"/>
      <c r="J53" s="1240"/>
      <c r="S53" s="3"/>
      <c r="T53" s="3"/>
      <c r="U53" s="3"/>
      <c r="V53" s="3"/>
      <c r="W53" s="3"/>
    </row>
    <row r="54" spans="2:23" ht="15" x14ac:dyDescent="0.2">
      <c r="B54" s="1176"/>
      <c r="C54" s="1177" t="s">
        <v>195</v>
      </c>
      <c r="D54" s="1239" t="s">
        <v>196</v>
      </c>
      <c r="E54" s="1178">
        <v>7.3500000000000001E+22</v>
      </c>
      <c r="F54" s="1177" t="s">
        <v>197</v>
      </c>
      <c r="G54" s="1179">
        <v>379729000</v>
      </c>
      <c r="H54" s="1179" t="s">
        <v>198</v>
      </c>
      <c r="I54" s="1180">
        <v>6.67E-11</v>
      </c>
      <c r="J54" s="1181" t="s">
        <v>199</v>
      </c>
      <c r="S54" s="3"/>
      <c r="T54" s="3"/>
      <c r="U54" s="3"/>
      <c r="V54" s="3"/>
      <c r="W54" s="3"/>
    </row>
    <row r="55" spans="2:23" ht="15.75" x14ac:dyDescent="0.2">
      <c r="B55" s="1184"/>
      <c r="C55" s="1177" t="s">
        <v>200</v>
      </c>
      <c r="D55" s="1239" t="s">
        <v>196</v>
      </c>
      <c r="E55" s="1178">
        <v>1.99E+30</v>
      </c>
      <c r="F55" s="1177" t="s">
        <v>201</v>
      </c>
      <c r="G55" s="1185">
        <v>149600000000</v>
      </c>
      <c r="H55" s="1186" t="s">
        <v>215</v>
      </c>
      <c r="I55" s="1187">
        <f>2*$I$3*$E$4*$G$3/($G$4)^3</f>
        <v>3.0108414825290062E-5</v>
      </c>
      <c r="J55" s="1188" t="s">
        <v>202</v>
      </c>
      <c r="S55" s="3"/>
      <c r="T55" s="3"/>
      <c r="U55" s="3"/>
      <c r="V55" s="3"/>
      <c r="W55" s="3"/>
    </row>
    <row r="56" spans="2:23" ht="16.5" thickBot="1" x14ac:dyDescent="0.25">
      <c r="B56" s="1238"/>
      <c r="C56" s="1523" t="s">
        <v>221</v>
      </c>
      <c r="D56" s="1524"/>
      <c r="E56" s="1237" t="s">
        <v>220</v>
      </c>
      <c r="F56" s="1236" t="s">
        <v>219</v>
      </c>
      <c r="G56" s="1235"/>
      <c r="H56" s="1235"/>
      <c r="I56" s="1235"/>
      <c r="J56" s="1234"/>
      <c r="S56" s="3"/>
      <c r="T56" s="3"/>
      <c r="U56" s="3"/>
      <c r="V56" s="3"/>
      <c r="W56" s="3"/>
    </row>
    <row r="57" spans="2:23" ht="16.5" thickBot="1" x14ac:dyDescent="0.25">
      <c r="B57" s="1233" t="s">
        <v>203</v>
      </c>
      <c r="C57" s="1232" t="s">
        <v>204</v>
      </c>
      <c r="D57" s="1231" t="s">
        <v>205</v>
      </c>
      <c r="E57" s="1232" t="s">
        <v>206</v>
      </c>
      <c r="F57" s="1231" t="s">
        <v>207</v>
      </c>
      <c r="G57" s="1232" t="s">
        <v>211</v>
      </c>
      <c r="H57" s="1231" t="s">
        <v>212</v>
      </c>
      <c r="I57" s="1514" t="s">
        <v>218</v>
      </c>
      <c r="J57" s="1515"/>
      <c r="S57" s="3"/>
      <c r="T57" s="3"/>
      <c r="U57" s="3"/>
      <c r="V57" s="3"/>
      <c r="W57" s="3"/>
    </row>
    <row r="58" spans="2:23" x14ac:dyDescent="0.2">
      <c r="B58" s="1229">
        <v>0</v>
      </c>
      <c r="C58" s="82">
        <f>14*COS(B58)</f>
        <v>14</v>
      </c>
      <c r="D58" s="26">
        <f>14*SIN(B58)</f>
        <v>0</v>
      </c>
      <c r="E58" s="1195">
        <f>$I$4*COS(B58)</f>
        <v>3.0108414825290062E-5</v>
      </c>
      <c r="F58" s="1193">
        <f>-0.5*$I$4*SIN(B58)</f>
        <v>0</v>
      </c>
      <c r="G58" s="82">
        <f>E58*150000</f>
        <v>4.5162622237935093</v>
      </c>
      <c r="H58" s="26">
        <f>F58*150000</f>
        <v>0</v>
      </c>
      <c r="I58" s="82">
        <f>C58+G58</f>
        <v>18.516262223793511</v>
      </c>
      <c r="J58" s="197">
        <f>D58+H58</f>
        <v>0</v>
      </c>
      <c r="S58" s="3"/>
      <c r="T58" s="3"/>
      <c r="U58" s="3"/>
      <c r="V58" s="3"/>
      <c r="W58" s="3"/>
    </row>
    <row r="59" spans="2:23" x14ac:dyDescent="0.2">
      <c r="B59" s="356">
        <f>B58+PI()/20</f>
        <v>0.15707963267948966</v>
      </c>
      <c r="C59" s="82">
        <f>14*COS(B59)</f>
        <v>13.827636768331928</v>
      </c>
      <c r="D59" s="26">
        <f>14*SIN(B59)</f>
        <v>2.190082510563232</v>
      </c>
      <c r="E59" s="1195">
        <f>$I$4*COS(B59)</f>
        <v>2.9737730276740785E-5</v>
      </c>
      <c r="F59" s="1193">
        <f>-0.5*$I$4*SIN(B59)</f>
        <v>-2.3549968832018036E-6</v>
      </c>
      <c r="G59" s="82">
        <f>E59*150000</f>
        <v>4.4606595415111174</v>
      </c>
      <c r="H59" s="26">
        <f>F59*150000</f>
        <v>-0.35324953248027052</v>
      </c>
      <c r="I59" s="82">
        <f>C58</f>
        <v>14</v>
      </c>
      <c r="J59" s="197">
        <f>D58</f>
        <v>0</v>
      </c>
      <c r="S59" s="3"/>
      <c r="T59" s="3"/>
      <c r="U59" s="3"/>
      <c r="V59" s="3"/>
      <c r="W59" s="3"/>
    </row>
    <row r="60" spans="2:23" x14ac:dyDescent="0.2">
      <c r="B60" s="356"/>
      <c r="C60" s="82"/>
      <c r="D60" s="26"/>
      <c r="E60" s="1195"/>
      <c r="F60" s="1193"/>
      <c r="G60" s="82"/>
      <c r="H60" s="26"/>
      <c r="I60" s="82"/>
      <c r="J60" s="197"/>
      <c r="S60" s="3"/>
      <c r="T60" s="3"/>
      <c r="U60" s="3"/>
      <c r="V60" s="3"/>
      <c r="W60" s="3"/>
    </row>
    <row r="61" spans="2:23" x14ac:dyDescent="0.2">
      <c r="B61" s="356">
        <f>B59+PI()/20</f>
        <v>0.31415926535897931</v>
      </c>
      <c r="C61" s="82">
        <f>14*COS(B61)</f>
        <v>13.314791228132149</v>
      </c>
      <c r="D61" s="26">
        <f>14*SIN(B61)</f>
        <v>4.3262379212492634</v>
      </c>
      <c r="E61" s="1195">
        <f>$I$4*COS(B61)</f>
        <v>2.8634804114909719E-5</v>
      </c>
      <c r="F61" s="1193">
        <f>-0.5*$I$4*SIN(B61)</f>
        <v>-4.6520059273526212E-6</v>
      </c>
      <c r="G61" s="82">
        <f>E61*150000</f>
        <v>4.295220617236458</v>
      </c>
      <c r="H61" s="26">
        <f>F61*150000</f>
        <v>-0.69780088910289317</v>
      </c>
      <c r="I61" s="82">
        <f>C61+G61</f>
        <v>17.610011845368607</v>
      </c>
      <c r="J61" s="197">
        <f>D61+H61</f>
        <v>3.6284370321463704</v>
      </c>
      <c r="S61" s="3"/>
      <c r="T61" s="3"/>
      <c r="U61" s="3"/>
      <c r="V61" s="3"/>
      <c r="W61" s="3"/>
    </row>
    <row r="62" spans="2:23" x14ac:dyDescent="0.2">
      <c r="B62" s="356">
        <f>B61+PI()/20</f>
        <v>0.47123889803846897</v>
      </c>
      <c r="C62" s="82">
        <f>14*COS(B62)</f>
        <v>12.47409133863715</v>
      </c>
      <c r="D62" s="26">
        <f>14*SIN(B62)</f>
        <v>6.3558669963536545</v>
      </c>
      <c r="E62" s="1195">
        <f>$I$4*COS(B62)</f>
        <v>2.6826794042303223E-5</v>
      </c>
      <c r="F62" s="1193">
        <f>-0.5*$I$4*SIN(B62)</f>
        <v>-6.8344671464495064E-6</v>
      </c>
      <c r="G62" s="82">
        <f>E62*150000</f>
        <v>4.0240191063454835</v>
      </c>
      <c r="H62" s="26">
        <f>F62*150000</f>
        <v>-1.0251700719674259</v>
      </c>
      <c r="I62" s="82">
        <f>C61</f>
        <v>13.314791228132149</v>
      </c>
      <c r="J62" s="197">
        <f>D61</f>
        <v>4.3262379212492634</v>
      </c>
      <c r="S62" s="3"/>
      <c r="T62" s="3"/>
      <c r="U62" s="3"/>
      <c r="V62" s="3"/>
      <c r="W62" s="3"/>
    </row>
    <row r="63" spans="2:23" x14ac:dyDescent="0.2">
      <c r="B63" s="356"/>
      <c r="C63" s="82"/>
      <c r="D63" s="26"/>
      <c r="E63" s="1195"/>
      <c r="F63" s="1193"/>
      <c r="G63" s="82"/>
      <c r="H63" s="26"/>
      <c r="I63" s="82"/>
      <c r="J63" s="197"/>
      <c r="S63" s="3"/>
      <c r="T63" s="3"/>
      <c r="U63" s="3"/>
      <c r="V63" s="3"/>
      <c r="W63" s="3"/>
    </row>
    <row r="64" spans="2:23" x14ac:dyDescent="0.2">
      <c r="B64" s="356">
        <f>B62+PI()/20</f>
        <v>0.62831853071795862</v>
      </c>
      <c r="C64" s="82">
        <f>14*COS(B64)</f>
        <v>11.326237921249264</v>
      </c>
      <c r="D64" s="26">
        <f>14*SIN(B64)</f>
        <v>8.2289935320946235</v>
      </c>
      <c r="E64" s="1195">
        <f>$I$4*COS(B64)</f>
        <v>2.4358219267350275E-5</v>
      </c>
      <c r="F64" s="1193">
        <f>-0.5*$I$4*SIN(B64)</f>
        <v>-8.8486411021047793E-6</v>
      </c>
      <c r="G64" s="82">
        <f>E64*150000</f>
        <v>3.6537328901025412</v>
      </c>
      <c r="H64" s="26">
        <f>F64*150000</f>
        <v>-1.3272961653157169</v>
      </c>
      <c r="I64" s="82">
        <f>C64+G64</f>
        <v>14.979970811351805</v>
      </c>
      <c r="J64" s="197">
        <f>D64+H64</f>
        <v>6.9016973667789063</v>
      </c>
      <c r="S64" s="3"/>
      <c r="T64" s="3"/>
      <c r="U64" s="3"/>
      <c r="V64" s="3"/>
      <c r="W64" s="3"/>
    </row>
    <row r="65" spans="2:23" x14ac:dyDescent="0.2">
      <c r="B65" s="356">
        <f>B64+PI()/20</f>
        <v>0.78539816339744828</v>
      </c>
      <c r="C65" s="82">
        <f>14*COS(B65)</f>
        <v>9.8994949366116654</v>
      </c>
      <c r="D65" s="26">
        <f>14*SIN(B65)</f>
        <v>9.8994949366116636</v>
      </c>
      <c r="E65" s="1195">
        <f>$I$4*COS(B65)</f>
        <v>2.1289864293740183E-5</v>
      </c>
      <c r="F65" s="1193">
        <f>-0.5*$I$4*SIN(B65)</f>
        <v>-1.064493214687009E-5</v>
      </c>
      <c r="G65" s="82">
        <f>E65*150000</f>
        <v>3.1934796440610276</v>
      </c>
      <c r="H65" s="26">
        <f>F65*150000</f>
        <v>-1.5967398220305136</v>
      </c>
      <c r="I65" s="82">
        <f>C64</f>
        <v>11.326237921249264</v>
      </c>
      <c r="J65" s="197">
        <f>D64</f>
        <v>8.2289935320946235</v>
      </c>
      <c r="S65" s="3"/>
      <c r="T65" s="3"/>
      <c r="U65" s="3"/>
      <c r="V65" s="3"/>
      <c r="W65" s="3"/>
    </row>
    <row r="66" spans="2:23" x14ac:dyDescent="0.2">
      <c r="B66" s="356"/>
      <c r="C66" s="82"/>
      <c r="D66" s="26"/>
      <c r="E66" s="1195"/>
      <c r="F66" s="1193"/>
      <c r="G66" s="82"/>
      <c r="H66" s="26"/>
      <c r="I66" s="82"/>
      <c r="J66" s="197"/>
      <c r="K66" s="345"/>
      <c r="L66" s="345"/>
      <c r="M66" s="345"/>
      <c r="S66" s="3"/>
      <c r="T66" s="3"/>
      <c r="U66" s="3"/>
      <c r="V66" s="3"/>
      <c r="W66" s="3"/>
    </row>
    <row r="67" spans="2:23" x14ac:dyDescent="0.2">
      <c r="B67" s="356">
        <f>B65+PI()/20</f>
        <v>0.94247779607693793</v>
      </c>
      <c r="C67" s="82">
        <f>14*COS(B67)</f>
        <v>8.2289935320946235</v>
      </c>
      <c r="D67" s="26">
        <f>14*SIN(B67)</f>
        <v>11.326237921249264</v>
      </c>
      <c r="E67" s="1195">
        <f>$I$4*COS(B67)</f>
        <v>1.7697282204209559E-5</v>
      </c>
      <c r="F67" s="1193">
        <f>-0.5*$I$4*SIN(B67)</f>
        <v>-1.2179109633675137E-5</v>
      </c>
      <c r="G67" s="82">
        <f>E67*150000</f>
        <v>2.6545923306314338</v>
      </c>
      <c r="H67" s="26">
        <f>F67*150000</f>
        <v>-1.8268664450512706</v>
      </c>
      <c r="I67" s="82">
        <f>C67+G67</f>
        <v>10.883585862726058</v>
      </c>
      <c r="J67" s="197">
        <f>D67+H67</f>
        <v>9.499371476197993</v>
      </c>
      <c r="K67" s="346"/>
      <c r="L67" s="345"/>
      <c r="M67" s="345"/>
      <c r="S67" s="3"/>
      <c r="T67" s="3"/>
      <c r="U67" s="3"/>
      <c r="V67" s="3"/>
      <c r="W67" s="3"/>
    </row>
    <row r="68" spans="2:23" x14ac:dyDescent="0.2">
      <c r="B68" s="356">
        <f>B67+PI()/20</f>
        <v>1.0995574287564276</v>
      </c>
      <c r="C68" s="82">
        <f>14*COS(B68)</f>
        <v>6.3558669963536554</v>
      </c>
      <c r="D68" s="26">
        <f>14*SIN(B68)</f>
        <v>12.474091338637148</v>
      </c>
      <c r="E68" s="1195">
        <f>$I$4*COS(B68)</f>
        <v>1.3668934292899015E-5</v>
      </c>
      <c r="F68" s="1193">
        <f>-0.5*$I$4*SIN(B68)</f>
        <v>-1.341339702115161E-5</v>
      </c>
      <c r="G68" s="82">
        <f>E68*150000</f>
        <v>2.0503401439348523</v>
      </c>
      <c r="H68" s="26">
        <f>F68*150000</f>
        <v>-2.0120095531727413</v>
      </c>
      <c r="I68" s="82">
        <f>C67</f>
        <v>8.2289935320946235</v>
      </c>
      <c r="J68" s="197">
        <f>D67</f>
        <v>11.326237921249264</v>
      </c>
      <c r="K68" s="346"/>
      <c r="L68" s="345"/>
      <c r="M68" s="345"/>
      <c r="S68" s="3"/>
      <c r="T68" s="3"/>
      <c r="U68" s="3"/>
      <c r="V68" s="3"/>
      <c r="W68" s="3"/>
    </row>
    <row r="69" spans="2:23" x14ac:dyDescent="0.2">
      <c r="B69" s="356"/>
      <c r="C69" s="82"/>
      <c r="D69" s="26"/>
      <c r="E69" s="1195"/>
      <c r="F69" s="1193"/>
      <c r="G69" s="82"/>
      <c r="H69" s="26"/>
      <c r="I69" s="82"/>
      <c r="J69" s="197"/>
      <c r="K69" s="346"/>
      <c r="L69" s="345"/>
      <c r="M69" s="345"/>
      <c r="S69" s="3"/>
      <c r="T69" s="3"/>
      <c r="U69" s="3"/>
      <c r="V69" s="3"/>
      <c r="W69" s="3"/>
    </row>
    <row r="70" spans="2:23" x14ac:dyDescent="0.2">
      <c r="B70" s="356">
        <f>B68+PI()/20</f>
        <v>1.2566370614359172</v>
      </c>
      <c r="C70" s="82">
        <f>14*COS(B70)</f>
        <v>4.3262379212492643</v>
      </c>
      <c r="D70" s="26">
        <f>14*SIN(B70)</f>
        <v>13.314791228132149</v>
      </c>
      <c r="E70" s="1195">
        <f>$I$4*COS(B70)</f>
        <v>9.3040118547052441E-6</v>
      </c>
      <c r="F70" s="1193">
        <f>-0.5*$I$4*SIN(B70)</f>
        <v>-1.431740205745486E-5</v>
      </c>
      <c r="G70" s="82">
        <f>E70*150000</f>
        <v>1.3956017782057866</v>
      </c>
      <c r="H70" s="26">
        <f>F70*150000</f>
        <v>-2.147610308618229</v>
      </c>
      <c r="I70" s="82">
        <f>C70+G70</f>
        <v>5.7218396994550513</v>
      </c>
      <c r="J70" s="197">
        <f>D70+H70</f>
        <v>11.167180919513921</v>
      </c>
      <c r="K70" s="346"/>
      <c r="L70" s="345"/>
      <c r="M70" s="345"/>
      <c r="S70" s="3"/>
      <c r="T70" s="3"/>
      <c r="U70" s="3"/>
      <c r="V70" s="3"/>
      <c r="W70" s="3"/>
    </row>
    <row r="71" spans="2:23" x14ac:dyDescent="0.2">
      <c r="B71" s="356">
        <f>B70+PI()/20</f>
        <v>1.4137166941154069</v>
      </c>
      <c r="C71" s="82">
        <f>14*COS(B71)</f>
        <v>2.1900825105632329</v>
      </c>
      <c r="D71" s="26">
        <f>14*SIN(B71)</f>
        <v>13.827636768331928</v>
      </c>
      <c r="E71" s="1195">
        <f>$I$4*COS(B71)</f>
        <v>4.7099937664036089E-6</v>
      </c>
      <c r="F71" s="1193">
        <f>-0.5*$I$4*SIN(B71)</f>
        <v>-1.4868865138370393E-5</v>
      </c>
      <c r="G71" s="82">
        <f>E71*150000</f>
        <v>0.70649906496054138</v>
      </c>
      <c r="H71" s="26">
        <f>F71*150000</f>
        <v>-2.2303297707555587</v>
      </c>
      <c r="I71" s="82">
        <f>C70</f>
        <v>4.3262379212492643</v>
      </c>
      <c r="J71" s="197">
        <f>D70</f>
        <v>13.314791228132149</v>
      </c>
      <c r="K71" s="346"/>
      <c r="L71" s="345"/>
      <c r="M71" s="345"/>
      <c r="S71" s="3"/>
      <c r="T71" s="3"/>
      <c r="U71" s="3"/>
      <c r="V71" s="3"/>
      <c r="W71" s="3"/>
    </row>
    <row r="72" spans="2:23" x14ac:dyDescent="0.2">
      <c r="B72" s="356"/>
      <c r="C72" s="82"/>
      <c r="D72" s="26"/>
      <c r="E72" s="1195"/>
      <c r="F72" s="1193"/>
      <c r="G72" s="82"/>
      <c r="H72" s="26"/>
      <c r="I72" s="82"/>
      <c r="J72" s="197"/>
      <c r="K72" s="346"/>
      <c r="L72" s="346"/>
      <c r="M72" s="346"/>
      <c r="N72" s="346"/>
      <c r="S72" s="3"/>
      <c r="T72" s="3"/>
      <c r="U72" s="3"/>
      <c r="V72" s="3"/>
      <c r="W72" s="3"/>
    </row>
    <row r="73" spans="2:23" x14ac:dyDescent="0.2">
      <c r="B73" s="356">
        <f>B71+PI()/20</f>
        <v>1.5707963267948966</v>
      </c>
      <c r="C73" s="82">
        <f>14*COS(B73)</f>
        <v>8.5760391843603401E-16</v>
      </c>
      <c r="D73" s="26">
        <f>14*SIN(B73)</f>
        <v>14</v>
      </c>
      <c r="E73" s="1195">
        <f>$I$4*COS(B73)</f>
        <v>1.8443638951475954E-21</v>
      </c>
      <c r="F73" s="1193">
        <f>-0.5*$I$4*SIN(B73)</f>
        <v>-1.5054207412645031E-5</v>
      </c>
      <c r="G73" s="82">
        <f>E73*150000</f>
        <v>2.7665458427213932E-16</v>
      </c>
      <c r="H73" s="26">
        <f>F73*150000</f>
        <v>-2.2581311118967546</v>
      </c>
      <c r="I73" s="82">
        <f>C73+G73</f>
        <v>1.1342585027081734E-15</v>
      </c>
      <c r="J73" s="197">
        <f>D73+H73</f>
        <v>11.741868888103244</v>
      </c>
      <c r="K73" s="346"/>
      <c r="L73" s="1253"/>
      <c r="M73" s="1253"/>
      <c r="N73" s="346"/>
      <c r="S73" s="3"/>
      <c r="T73" s="3"/>
      <c r="U73" s="3"/>
      <c r="V73" s="3"/>
      <c r="W73" s="3"/>
    </row>
    <row r="74" spans="2:23" x14ac:dyDescent="0.2">
      <c r="B74" s="356">
        <f>B73+PI()/20</f>
        <v>1.7278759594743862</v>
      </c>
      <c r="C74" s="82">
        <f>14*COS(B74)</f>
        <v>-2.1900825105632316</v>
      </c>
      <c r="D74" s="26">
        <f>14*SIN(B74)</f>
        <v>13.827636768331928</v>
      </c>
      <c r="E74" s="1195">
        <f>$I$4*COS(B74)</f>
        <v>-4.7099937664036055E-6</v>
      </c>
      <c r="F74" s="1193">
        <f>-0.5*$I$4*SIN(B74)</f>
        <v>-1.4868865138370393E-5</v>
      </c>
      <c r="G74" s="82">
        <f>E74*150000</f>
        <v>-0.70649906496054082</v>
      </c>
      <c r="H74" s="26">
        <f>F74*150000</f>
        <v>-2.2303297707555587</v>
      </c>
      <c r="I74" s="82">
        <f>C73</f>
        <v>8.5760391843603401E-16</v>
      </c>
      <c r="J74" s="197">
        <f>D73</f>
        <v>14</v>
      </c>
      <c r="K74" s="346"/>
      <c r="L74" s="346"/>
      <c r="M74" s="346"/>
      <c r="N74" s="346"/>
      <c r="S74" s="3"/>
      <c r="T74" s="3"/>
      <c r="U74" s="3"/>
      <c r="V74" s="3"/>
      <c r="W74" s="3"/>
    </row>
    <row r="75" spans="2:23" x14ac:dyDescent="0.2">
      <c r="B75" s="356"/>
      <c r="C75" s="82"/>
      <c r="D75" s="26"/>
      <c r="E75" s="1195"/>
      <c r="F75" s="1193"/>
      <c r="G75" s="82"/>
      <c r="H75" s="26"/>
      <c r="I75" s="82"/>
      <c r="J75" s="197"/>
      <c r="K75" s="346"/>
      <c r="L75" s="345"/>
      <c r="M75" s="345"/>
      <c r="S75" s="3"/>
      <c r="T75" s="3"/>
      <c r="U75" s="3"/>
      <c r="V75" s="3"/>
      <c r="W75" s="3"/>
    </row>
    <row r="76" spans="2:23" x14ac:dyDescent="0.2">
      <c r="B76" s="356">
        <f>B74+PI()/20</f>
        <v>1.8849555921538759</v>
      </c>
      <c r="C76" s="82">
        <f>14*COS(B76)</f>
        <v>-4.3262379212492625</v>
      </c>
      <c r="D76" s="26">
        <f>14*SIN(B76)</f>
        <v>13.314791228132151</v>
      </c>
      <c r="E76" s="1195">
        <f>$I$4*COS(B76)</f>
        <v>-9.3040118547052407E-6</v>
      </c>
      <c r="F76" s="1193">
        <f>-0.5*$I$4*SIN(B76)</f>
        <v>-1.4317402057454861E-5</v>
      </c>
      <c r="G76" s="82">
        <f>E76*150000</f>
        <v>-1.3956017782057861</v>
      </c>
      <c r="H76" s="26">
        <f>F76*150000</f>
        <v>-2.1476103086182294</v>
      </c>
      <c r="I76" s="82">
        <f>C76+G76</f>
        <v>-5.7218396994550487</v>
      </c>
      <c r="J76" s="197">
        <f>D76+H76</f>
        <v>11.167180919513921</v>
      </c>
      <c r="K76" s="346"/>
      <c r="L76" s="345"/>
      <c r="M76" s="345"/>
      <c r="S76" s="3"/>
      <c r="T76" s="3"/>
      <c r="U76" s="3"/>
      <c r="V76" s="3"/>
      <c r="W76" s="3"/>
    </row>
    <row r="77" spans="2:23" x14ac:dyDescent="0.2">
      <c r="B77" s="356">
        <f>B76+PI()/20</f>
        <v>2.0420352248333655</v>
      </c>
      <c r="C77" s="82">
        <f>14*COS(B77)</f>
        <v>-6.3558669963536536</v>
      </c>
      <c r="D77" s="26">
        <f>14*SIN(B77)</f>
        <v>12.47409133863715</v>
      </c>
      <c r="E77" s="1195">
        <f>$I$4*COS(B77)</f>
        <v>-1.3668934292899011E-5</v>
      </c>
      <c r="F77" s="1193">
        <f>-0.5*$I$4*SIN(B77)</f>
        <v>-1.3413397021151612E-5</v>
      </c>
      <c r="G77" s="82">
        <f>E77*150000</f>
        <v>-2.0503401439348519</v>
      </c>
      <c r="H77" s="26">
        <f>F77*150000</f>
        <v>-2.0120095531727418</v>
      </c>
      <c r="I77" s="82">
        <f>C76</f>
        <v>-4.3262379212492625</v>
      </c>
      <c r="J77" s="197">
        <f>D76</f>
        <v>13.314791228132151</v>
      </c>
      <c r="K77" s="346"/>
      <c r="L77" s="345"/>
      <c r="M77" s="345"/>
      <c r="S77" s="3"/>
      <c r="T77" s="3"/>
      <c r="U77" s="3"/>
      <c r="V77" s="3"/>
      <c r="W77" s="3"/>
    </row>
    <row r="78" spans="2:23" x14ac:dyDescent="0.2">
      <c r="B78" s="356"/>
      <c r="C78" s="82"/>
      <c r="D78" s="26"/>
      <c r="E78" s="1195"/>
      <c r="F78" s="1193"/>
      <c r="G78" s="82"/>
      <c r="H78" s="26"/>
      <c r="I78" s="82"/>
      <c r="J78" s="197"/>
      <c r="K78" s="346"/>
      <c r="L78" s="345"/>
      <c r="M78" s="345"/>
      <c r="S78" s="3"/>
      <c r="T78" s="3"/>
      <c r="U78" s="3"/>
      <c r="V78" s="3"/>
      <c r="W78" s="3"/>
    </row>
    <row r="79" spans="2:23" x14ac:dyDescent="0.2">
      <c r="B79" s="356">
        <f>B77+PI()/20</f>
        <v>2.1991148575128552</v>
      </c>
      <c r="C79" s="82">
        <f>14*COS(B79)</f>
        <v>-8.2289935320946217</v>
      </c>
      <c r="D79" s="26">
        <f>14*SIN(B79)</f>
        <v>11.326237921249264</v>
      </c>
      <c r="E79" s="1195">
        <f>$I$4*COS(B79)</f>
        <v>-1.7697282204209555E-5</v>
      </c>
      <c r="F79" s="1193">
        <f>-0.5*$I$4*SIN(B79)</f>
        <v>-1.2179109633675137E-5</v>
      </c>
      <c r="G79" s="82">
        <f>E79*150000</f>
        <v>-2.6545923306314334</v>
      </c>
      <c r="H79" s="26">
        <f>F79*150000</f>
        <v>-1.8268664450512706</v>
      </c>
      <c r="I79" s="82">
        <f>C79+G79</f>
        <v>-10.883585862726054</v>
      </c>
      <c r="J79" s="197">
        <f>D79+H79</f>
        <v>9.499371476197993</v>
      </c>
      <c r="K79" s="346"/>
      <c r="L79" s="345"/>
      <c r="M79" s="345"/>
      <c r="S79" s="3"/>
      <c r="T79" s="3"/>
      <c r="U79" s="3"/>
      <c r="V79" s="3"/>
      <c r="W79" s="3"/>
    </row>
    <row r="80" spans="2:23" x14ac:dyDescent="0.2">
      <c r="B80" s="356">
        <f>B79+PI()/20</f>
        <v>2.3561944901923448</v>
      </c>
      <c r="C80" s="82">
        <f>14*COS(B80)</f>
        <v>-9.8994949366116636</v>
      </c>
      <c r="D80" s="26">
        <f>14*SIN(B80)</f>
        <v>9.8994949366116654</v>
      </c>
      <c r="E80" s="1195">
        <f>$I$4*COS(B80)</f>
        <v>-2.128986429374018E-5</v>
      </c>
      <c r="F80" s="1193">
        <f>-0.5*$I$4*SIN(B80)</f>
        <v>-1.0644932146870092E-5</v>
      </c>
      <c r="G80" s="82">
        <f>E80*150000</f>
        <v>-3.1934796440610271</v>
      </c>
      <c r="H80" s="26">
        <f>F80*150000</f>
        <v>-1.5967398220305138</v>
      </c>
      <c r="I80" s="82">
        <f>C79</f>
        <v>-8.2289935320946217</v>
      </c>
      <c r="J80" s="197">
        <f>D79</f>
        <v>11.326237921249264</v>
      </c>
      <c r="K80" s="346"/>
      <c r="L80" s="345"/>
      <c r="M80" s="345"/>
      <c r="S80" s="3"/>
      <c r="T80" s="3"/>
      <c r="U80" s="3"/>
      <c r="V80" s="3"/>
      <c r="W80" s="3"/>
    </row>
    <row r="81" spans="2:23" x14ac:dyDescent="0.2">
      <c r="B81" s="356"/>
      <c r="C81" s="82"/>
      <c r="D81" s="26"/>
      <c r="E81" s="1195"/>
      <c r="F81" s="1193"/>
      <c r="G81" s="82"/>
      <c r="H81" s="26"/>
      <c r="I81" s="82"/>
      <c r="J81" s="197"/>
      <c r="K81" s="345"/>
      <c r="L81" s="345"/>
      <c r="M81" s="345"/>
      <c r="S81" s="3"/>
      <c r="T81" s="3"/>
      <c r="U81" s="3"/>
      <c r="V81" s="3"/>
      <c r="W81" s="3"/>
    </row>
    <row r="82" spans="2:23" x14ac:dyDescent="0.2">
      <c r="B82" s="356">
        <f>B80+PI()/20</f>
        <v>2.5132741228718345</v>
      </c>
      <c r="C82" s="82">
        <f>14*COS(B82)</f>
        <v>-11.326237921249263</v>
      </c>
      <c r="D82" s="26">
        <f>14*SIN(B82)</f>
        <v>8.2289935320946253</v>
      </c>
      <c r="E82" s="1195">
        <f>$I$4*COS(B82)</f>
        <v>-2.4358219267350272E-5</v>
      </c>
      <c r="F82" s="1193">
        <f>-0.5*$I$4*SIN(B82)</f>
        <v>-8.848641102104781E-6</v>
      </c>
      <c r="G82" s="82">
        <f>E82*150000</f>
        <v>-3.6537328901025408</v>
      </c>
      <c r="H82" s="26">
        <f>F82*150000</f>
        <v>-1.3272961653157171</v>
      </c>
      <c r="I82" s="82">
        <f>C82+G82</f>
        <v>-14.979970811351803</v>
      </c>
      <c r="J82" s="197">
        <f>D82+H82</f>
        <v>6.9016973667789081</v>
      </c>
      <c r="K82" s="345"/>
      <c r="L82" s="345"/>
      <c r="M82" s="345"/>
      <c r="S82" s="3"/>
      <c r="T82" s="3"/>
      <c r="U82" s="3"/>
      <c r="V82" s="3"/>
      <c r="W82" s="3"/>
    </row>
    <row r="83" spans="2:23" x14ac:dyDescent="0.2">
      <c r="B83" s="356">
        <f>B82+PI()/20</f>
        <v>2.6703537555513241</v>
      </c>
      <c r="C83" s="82">
        <f>14*COS(B83)</f>
        <v>-12.474091338637148</v>
      </c>
      <c r="D83" s="26">
        <f>14*SIN(B83)</f>
        <v>6.3558669963536563</v>
      </c>
      <c r="E83" s="1195">
        <f>$I$4*COS(B83)</f>
        <v>-2.682679404230322E-5</v>
      </c>
      <c r="F83" s="1193">
        <f>-0.5*$I$4*SIN(B83)</f>
        <v>-6.8344671464495081E-6</v>
      </c>
      <c r="G83" s="82">
        <f>E83*150000</f>
        <v>-4.0240191063454827</v>
      </c>
      <c r="H83" s="26">
        <f>F83*150000</f>
        <v>-1.0251700719674262</v>
      </c>
      <c r="I83" s="82">
        <f>C82</f>
        <v>-11.326237921249263</v>
      </c>
      <c r="J83" s="197">
        <f>D82</f>
        <v>8.2289935320946253</v>
      </c>
      <c r="S83" s="3"/>
      <c r="T83" s="3"/>
      <c r="U83" s="3"/>
      <c r="V83" s="3"/>
      <c r="W83" s="3"/>
    </row>
    <row r="84" spans="2:23" x14ac:dyDescent="0.2">
      <c r="B84" s="356"/>
      <c r="C84" s="82"/>
      <c r="D84" s="26"/>
      <c r="E84" s="1195"/>
      <c r="F84" s="1193"/>
      <c r="G84" s="82"/>
      <c r="H84" s="26"/>
      <c r="I84" s="82"/>
      <c r="J84" s="197"/>
      <c r="S84" s="3"/>
      <c r="T84" s="3"/>
      <c r="U84" s="3"/>
      <c r="V84" s="3"/>
      <c r="W84" s="3"/>
    </row>
    <row r="85" spans="2:23" x14ac:dyDescent="0.2">
      <c r="B85" s="356">
        <f>B83+PI()/20</f>
        <v>2.8274333882308138</v>
      </c>
      <c r="C85" s="82">
        <f>14*COS(B85)</f>
        <v>-13.314791228132149</v>
      </c>
      <c r="D85" s="26">
        <f>14*SIN(B85)</f>
        <v>4.3262379212492652</v>
      </c>
      <c r="E85" s="1195">
        <f>$I$4*COS(B85)</f>
        <v>-2.8634804114909719E-5</v>
      </c>
      <c r="F85" s="1193">
        <f>-0.5*$I$4*SIN(B85)</f>
        <v>-4.6520059273526229E-6</v>
      </c>
      <c r="G85" s="82">
        <f>E85*150000</f>
        <v>-4.295220617236458</v>
      </c>
      <c r="H85" s="26">
        <f>F85*150000</f>
        <v>-0.6978008891028934</v>
      </c>
      <c r="I85" s="82">
        <f>C85+G85</f>
        <v>-17.610011845368607</v>
      </c>
      <c r="J85" s="197">
        <f>D85+H85</f>
        <v>3.6284370321463717</v>
      </c>
      <c r="S85" s="3"/>
      <c r="T85" s="3"/>
      <c r="U85" s="3"/>
      <c r="V85" s="3"/>
      <c r="W85" s="3"/>
    </row>
    <row r="86" spans="2:23" x14ac:dyDescent="0.2">
      <c r="B86" s="356">
        <f>B85+PI()/20</f>
        <v>2.9845130209103035</v>
      </c>
      <c r="C86" s="82">
        <f>14*COS(B86)</f>
        <v>-13.827636768331928</v>
      </c>
      <c r="D86" s="26">
        <f>14*SIN(B86)</f>
        <v>2.1900825105632338</v>
      </c>
      <c r="E86" s="1195">
        <f>$I$4*COS(B86)</f>
        <v>-2.9737730276740782E-5</v>
      </c>
      <c r="F86" s="1193">
        <f>-0.5*$I$4*SIN(B86)</f>
        <v>-2.3549968832018053E-6</v>
      </c>
      <c r="G86" s="82">
        <f>E86*150000</f>
        <v>-4.4606595415111174</v>
      </c>
      <c r="H86" s="26">
        <f>F86*150000</f>
        <v>-0.3532495324802708</v>
      </c>
      <c r="I86" s="82">
        <f>C85</f>
        <v>-13.314791228132149</v>
      </c>
      <c r="J86" s="197">
        <f>D85</f>
        <v>4.3262379212492652</v>
      </c>
      <c r="S86" s="3"/>
      <c r="T86" s="3"/>
      <c r="U86" s="3"/>
      <c r="V86" s="3"/>
      <c r="W86" s="3"/>
    </row>
    <row r="87" spans="2:23" x14ac:dyDescent="0.2">
      <c r="B87" s="356"/>
      <c r="C87" s="82"/>
      <c r="D87" s="26"/>
      <c r="E87" s="1195"/>
      <c r="F87" s="1193"/>
      <c r="G87" s="82"/>
      <c r="H87" s="26"/>
      <c r="I87" s="82"/>
      <c r="J87" s="197"/>
      <c r="S87" s="3"/>
      <c r="T87" s="3"/>
      <c r="U87" s="3"/>
      <c r="V87" s="3"/>
      <c r="W87" s="3"/>
    </row>
    <row r="88" spans="2:23" x14ac:dyDescent="0.2">
      <c r="B88" s="356">
        <f>B86+PI()/20</f>
        <v>3.1415926535897931</v>
      </c>
      <c r="C88" s="82">
        <f>14*COS(B88)</f>
        <v>-14</v>
      </c>
      <c r="D88" s="26">
        <f>14*SIN(B88)</f>
        <v>1.715207836872068E-15</v>
      </c>
      <c r="E88" s="1195">
        <f>$I$4*COS(B88)</f>
        <v>-3.0108414825290062E-5</v>
      </c>
      <c r="F88" s="1193">
        <f>-0.5*$I$4*SIN(B88)</f>
        <v>-1.8443638951475954E-21</v>
      </c>
      <c r="G88" s="82">
        <f>E88*150000</f>
        <v>-4.5162622237935093</v>
      </c>
      <c r="H88" s="26">
        <f>F88*150000</f>
        <v>-2.7665458427213932E-16</v>
      </c>
      <c r="I88" s="82">
        <f>C88+G88</f>
        <v>-18.516262223793511</v>
      </c>
      <c r="J88" s="197">
        <f>D88+H88</f>
        <v>1.4385532525999286E-15</v>
      </c>
      <c r="S88" s="3"/>
      <c r="T88" s="3"/>
      <c r="U88" s="3"/>
      <c r="V88" s="3"/>
      <c r="W88" s="3"/>
    </row>
    <row r="89" spans="2:23" x14ac:dyDescent="0.2">
      <c r="B89" s="356">
        <f>B88+PI()/20</f>
        <v>3.2986722862692828</v>
      </c>
      <c r="C89" s="82">
        <f>14*COS(B89)</f>
        <v>-13.827636768331928</v>
      </c>
      <c r="D89" s="26">
        <f>14*SIN(B89)</f>
        <v>-2.1900825105632302</v>
      </c>
      <c r="E89" s="1195">
        <f>$I$4*COS(B89)</f>
        <v>-2.9737730276740785E-5</v>
      </c>
      <c r="F89" s="1193">
        <f>-0.5*$I$4*SIN(B89)</f>
        <v>2.3549968832018015E-6</v>
      </c>
      <c r="G89" s="82">
        <f>E89*150000</f>
        <v>-4.4606595415111174</v>
      </c>
      <c r="H89" s="26">
        <f>F89*150000</f>
        <v>0.35324953248027025</v>
      </c>
      <c r="I89" s="82">
        <f>C88</f>
        <v>-14</v>
      </c>
      <c r="J89" s="197">
        <f>D88</f>
        <v>1.715207836872068E-15</v>
      </c>
      <c r="S89" s="3"/>
      <c r="T89" s="3"/>
      <c r="U89" s="3"/>
      <c r="V89" s="3"/>
      <c r="W89" s="3"/>
    </row>
    <row r="90" spans="2:23" x14ac:dyDescent="0.2">
      <c r="B90" s="356"/>
      <c r="C90" s="82"/>
      <c r="D90" s="26"/>
      <c r="E90" s="1195"/>
      <c r="F90" s="1193"/>
      <c r="G90" s="82"/>
      <c r="H90" s="26"/>
      <c r="I90" s="82"/>
      <c r="J90" s="197"/>
      <c r="S90" s="3"/>
      <c r="T90" s="3"/>
      <c r="U90" s="3"/>
      <c r="V90" s="3"/>
      <c r="W90" s="3"/>
    </row>
    <row r="91" spans="2:23" x14ac:dyDescent="0.2">
      <c r="B91" s="356">
        <f>B89+PI()/20</f>
        <v>3.4557519189487724</v>
      </c>
      <c r="C91" s="82">
        <f>14*COS(B91)</f>
        <v>-13.314791228132151</v>
      </c>
      <c r="D91" s="26">
        <f>14*SIN(B91)</f>
        <v>-4.3262379212492617</v>
      </c>
      <c r="E91" s="1195">
        <f>$I$4*COS(B91)</f>
        <v>-2.8634804114909723E-5</v>
      </c>
      <c r="F91" s="1193">
        <f>-0.5*$I$4*SIN(B91)</f>
        <v>4.6520059273526195E-6</v>
      </c>
      <c r="G91" s="82">
        <f>E91*150000</f>
        <v>-4.2952206172364589</v>
      </c>
      <c r="H91" s="26">
        <f>F91*150000</f>
        <v>0.69780088910289295</v>
      </c>
      <c r="I91" s="82">
        <f>C91+G91</f>
        <v>-17.610011845368611</v>
      </c>
      <c r="J91" s="197">
        <f>D91+H91</f>
        <v>-3.6284370321463686</v>
      </c>
      <c r="S91" s="3"/>
      <c r="T91" s="3"/>
      <c r="U91" s="3"/>
      <c r="V91" s="3"/>
      <c r="W91" s="3"/>
    </row>
    <row r="92" spans="2:23" x14ac:dyDescent="0.2">
      <c r="B92" s="356">
        <f>B91+PI()/20</f>
        <v>3.6128315516282621</v>
      </c>
      <c r="C92" s="82">
        <f>14*COS(B92)</f>
        <v>-12.47409133863715</v>
      </c>
      <c r="D92" s="26">
        <f>14*SIN(B92)</f>
        <v>-6.3558669963536536</v>
      </c>
      <c r="E92" s="1195">
        <f>$I$4*COS(B92)</f>
        <v>-2.6826794042303223E-5</v>
      </c>
      <c r="F92" s="1193">
        <f>-0.5*$I$4*SIN(B92)</f>
        <v>6.8344671464495056E-6</v>
      </c>
      <c r="G92" s="82">
        <f>E92*150000</f>
        <v>-4.0240191063454835</v>
      </c>
      <c r="H92" s="26">
        <f>F92*150000</f>
        <v>1.0251700719674259</v>
      </c>
      <c r="I92" s="82">
        <f>C91</f>
        <v>-13.314791228132151</v>
      </c>
      <c r="J92" s="197">
        <f>D91</f>
        <v>-4.3262379212492617</v>
      </c>
      <c r="S92" s="3"/>
      <c r="T92" s="3"/>
      <c r="U92" s="3"/>
      <c r="V92" s="3"/>
      <c r="W92" s="3"/>
    </row>
    <row r="93" spans="2:23" x14ac:dyDescent="0.2">
      <c r="B93" s="356"/>
      <c r="C93" s="82"/>
      <c r="D93" s="26"/>
      <c r="E93" s="1195"/>
      <c r="F93" s="1193"/>
      <c r="G93" s="82"/>
      <c r="H93" s="26"/>
      <c r="I93" s="82"/>
      <c r="J93" s="197"/>
      <c r="S93" s="3"/>
      <c r="T93" s="3"/>
      <c r="U93" s="3"/>
      <c r="V93" s="3"/>
      <c r="W93" s="3"/>
    </row>
    <row r="94" spans="2:23" x14ac:dyDescent="0.2">
      <c r="B94" s="356">
        <f>B92+PI()/20</f>
        <v>3.7699111843077517</v>
      </c>
      <c r="C94" s="82">
        <f>14*COS(B94)</f>
        <v>-11.326237921249266</v>
      </c>
      <c r="D94" s="26">
        <f>14*SIN(B94)</f>
        <v>-8.2289935320946217</v>
      </c>
      <c r="E94" s="1195">
        <f>$I$4*COS(B94)</f>
        <v>-2.4358219267350278E-5</v>
      </c>
      <c r="F94" s="1193">
        <f>-0.5*$I$4*SIN(B94)</f>
        <v>8.8486411021047776E-6</v>
      </c>
      <c r="G94" s="82">
        <f>E94*150000</f>
        <v>-3.6537328901025417</v>
      </c>
      <c r="H94" s="26">
        <f>F94*150000</f>
        <v>1.3272961653157167</v>
      </c>
      <c r="I94" s="82">
        <f>C94+G94</f>
        <v>-14.979970811351809</v>
      </c>
      <c r="J94" s="197">
        <f>D94+H94</f>
        <v>-6.9016973667789046</v>
      </c>
      <c r="S94" s="3"/>
      <c r="T94" s="3"/>
      <c r="U94" s="3"/>
      <c r="V94" s="3"/>
      <c r="W94" s="3"/>
    </row>
    <row r="95" spans="2:23" x14ac:dyDescent="0.2">
      <c r="B95" s="356">
        <f>B94+PI()/20</f>
        <v>3.9269908169872414</v>
      </c>
      <c r="C95" s="82">
        <f>14*COS(B95)</f>
        <v>-9.8994949366116671</v>
      </c>
      <c r="D95" s="26">
        <f>14*SIN(B95)</f>
        <v>-9.8994949366116636</v>
      </c>
      <c r="E95" s="1195">
        <f>$I$4*COS(B95)</f>
        <v>-2.1289864293740187E-5</v>
      </c>
      <c r="F95" s="1193">
        <f>-0.5*$I$4*SIN(B95)</f>
        <v>1.064493214687009E-5</v>
      </c>
      <c r="G95" s="82">
        <f>E95*150000</f>
        <v>-3.193479644061028</v>
      </c>
      <c r="H95" s="26">
        <f>F95*150000</f>
        <v>1.5967398220305136</v>
      </c>
      <c r="I95" s="82">
        <f>C94</f>
        <v>-11.326237921249266</v>
      </c>
      <c r="J95" s="197">
        <f>D94</f>
        <v>-8.2289935320946217</v>
      </c>
      <c r="S95" s="3"/>
      <c r="T95" s="3"/>
      <c r="U95" s="3"/>
      <c r="V95" s="3"/>
      <c r="W95" s="3"/>
    </row>
    <row r="96" spans="2:23" x14ac:dyDescent="0.2">
      <c r="B96" s="356"/>
      <c r="C96" s="82"/>
      <c r="D96" s="26"/>
      <c r="E96" s="1195"/>
      <c r="F96" s="1193"/>
      <c r="G96" s="82"/>
      <c r="H96" s="26"/>
      <c r="I96" s="82"/>
      <c r="J96" s="197"/>
      <c r="S96" s="3"/>
      <c r="T96" s="3"/>
      <c r="U96" s="3"/>
      <c r="V96" s="3"/>
      <c r="W96" s="3"/>
    </row>
    <row r="97" spans="2:23" x14ac:dyDescent="0.2">
      <c r="B97" s="356">
        <f>B95+PI()/20</f>
        <v>4.0840704496667311</v>
      </c>
      <c r="C97" s="82">
        <f>14*COS(B97)</f>
        <v>-8.2289935320946253</v>
      </c>
      <c r="D97" s="26">
        <f>14*SIN(B97)</f>
        <v>-11.326237921249263</v>
      </c>
      <c r="E97" s="1195">
        <f>$I$4*COS(B97)</f>
        <v>-1.7697282204209562E-5</v>
      </c>
      <c r="F97" s="1193">
        <f>-0.5*$I$4*SIN(B97)</f>
        <v>1.2179109633675136E-5</v>
      </c>
      <c r="G97" s="82">
        <f>E97*150000</f>
        <v>-2.6545923306314343</v>
      </c>
      <c r="H97" s="26">
        <f>F97*150000</f>
        <v>1.8268664450512704</v>
      </c>
      <c r="I97" s="82">
        <f>C97+G97</f>
        <v>-10.88358586272606</v>
      </c>
      <c r="J97" s="197">
        <f>D97+H97</f>
        <v>-9.499371476197993</v>
      </c>
      <c r="S97" s="3"/>
      <c r="T97" s="3"/>
      <c r="U97" s="3"/>
      <c r="V97" s="3"/>
      <c r="W97" s="3"/>
    </row>
    <row r="98" spans="2:23" x14ac:dyDescent="0.2">
      <c r="B98" s="356">
        <f>B97+PI()/20</f>
        <v>4.2411500823462207</v>
      </c>
      <c r="C98" s="82">
        <f>14*COS(B98)</f>
        <v>-6.3558669963536572</v>
      </c>
      <c r="D98" s="26">
        <f>14*SIN(B98)</f>
        <v>-12.474091338637148</v>
      </c>
      <c r="E98" s="1195">
        <f>$I$4*COS(B98)</f>
        <v>-1.3668934292899018E-5</v>
      </c>
      <c r="F98" s="1193">
        <f>-0.5*$I$4*SIN(B98)</f>
        <v>1.341339702115161E-5</v>
      </c>
      <c r="G98" s="82">
        <f>E98*150000</f>
        <v>-2.0503401439348528</v>
      </c>
      <c r="H98" s="26">
        <f>F98*150000</f>
        <v>2.0120095531727413</v>
      </c>
      <c r="I98" s="82">
        <f>C97</f>
        <v>-8.2289935320946253</v>
      </c>
      <c r="J98" s="197">
        <f>D97</f>
        <v>-11.326237921249263</v>
      </c>
      <c r="S98" s="3"/>
      <c r="T98" s="3"/>
      <c r="U98" s="3"/>
      <c r="V98" s="3"/>
      <c r="W98" s="3"/>
    </row>
    <row r="99" spans="2:23" x14ac:dyDescent="0.2">
      <c r="B99" s="356"/>
      <c r="C99" s="82"/>
      <c r="D99" s="26"/>
      <c r="E99" s="1195"/>
      <c r="F99" s="1193"/>
      <c r="G99" s="82"/>
      <c r="H99" s="26"/>
      <c r="I99" s="82"/>
      <c r="J99" s="197"/>
      <c r="S99" s="3"/>
      <c r="T99" s="3"/>
      <c r="U99" s="3"/>
      <c r="V99" s="3"/>
      <c r="W99" s="3"/>
    </row>
    <row r="100" spans="2:23" x14ac:dyDescent="0.2">
      <c r="B100" s="356">
        <f>B98+PI()/20</f>
        <v>4.3982297150257104</v>
      </c>
      <c r="C100" s="82">
        <f>14*COS(B100)</f>
        <v>-4.3262379212492661</v>
      </c>
      <c r="D100" s="26">
        <f>14*SIN(B100)</f>
        <v>-13.314791228132149</v>
      </c>
      <c r="E100" s="1195">
        <f>$I$4*COS(B100)</f>
        <v>-9.3040118547052475E-6</v>
      </c>
      <c r="F100" s="1193">
        <f>-0.5*$I$4*SIN(B100)</f>
        <v>1.431740205745486E-5</v>
      </c>
      <c r="G100" s="82">
        <f>E100*150000</f>
        <v>-1.395601778205787</v>
      </c>
      <c r="H100" s="26">
        <f>F100*150000</f>
        <v>2.147610308618229</v>
      </c>
      <c r="I100" s="82">
        <f>C100+G100</f>
        <v>-5.7218396994550531</v>
      </c>
      <c r="J100" s="197">
        <f>D100+H100</f>
        <v>-11.167180919513921</v>
      </c>
      <c r="S100" s="3"/>
      <c r="T100" s="3"/>
      <c r="U100" s="3"/>
      <c r="V100" s="3"/>
      <c r="W100" s="3"/>
    </row>
    <row r="101" spans="2:23" x14ac:dyDescent="0.2">
      <c r="B101" s="356">
        <f>B100+PI()/20</f>
        <v>4.5553093477052</v>
      </c>
      <c r="C101" s="82">
        <f>14*COS(B101)</f>
        <v>-2.1900825105632347</v>
      </c>
      <c r="D101" s="26">
        <f>14*SIN(B101)</f>
        <v>-13.827636768331928</v>
      </c>
      <c r="E101" s="1195">
        <f>$I$4*COS(B101)</f>
        <v>-4.7099937664036123E-6</v>
      </c>
      <c r="F101" s="1193">
        <f>-0.5*$I$4*SIN(B101)</f>
        <v>1.4868865138370391E-5</v>
      </c>
      <c r="G101" s="82">
        <f>E101*150000</f>
        <v>-0.70649906496054182</v>
      </c>
      <c r="H101" s="26">
        <f>F101*150000</f>
        <v>2.2303297707555587</v>
      </c>
      <c r="I101" s="82">
        <f>C100</f>
        <v>-4.3262379212492661</v>
      </c>
      <c r="J101" s="197">
        <f>D100</f>
        <v>-13.314791228132149</v>
      </c>
      <c r="S101" s="3"/>
      <c r="T101" s="3"/>
      <c r="U101" s="3"/>
      <c r="V101" s="3"/>
      <c r="W101" s="3"/>
    </row>
    <row r="102" spans="2:23" x14ac:dyDescent="0.2">
      <c r="B102" s="356"/>
      <c r="C102" s="82"/>
      <c r="D102" s="26"/>
      <c r="E102" s="1195"/>
      <c r="F102" s="1193"/>
      <c r="G102" s="82"/>
      <c r="H102" s="26"/>
      <c r="I102" s="82"/>
      <c r="J102" s="197"/>
      <c r="S102" s="3"/>
      <c r="T102" s="3"/>
      <c r="U102" s="3"/>
      <c r="V102" s="3"/>
      <c r="W102" s="3"/>
    </row>
    <row r="103" spans="2:23" x14ac:dyDescent="0.2">
      <c r="B103" s="356">
        <f>B101+PI()/20</f>
        <v>4.7123889803846897</v>
      </c>
      <c r="C103" s="82">
        <f>14*COS(B103)</f>
        <v>-2.572811755308102E-15</v>
      </c>
      <c r="D103" s="26">
        <f>14*SIN(B103)</f>
        <v>-14</v>
      </c>
      <c r="E103" s="1195">
        <f>$I$4*COS(B103)</f>
        <v>-5.5330916854427863E-21</v>
      </c>
      <c r="F103" s="1193">
        <f>-0.5*$I$4*SIN(B103)</f>
        <v>1.5054207412645031E-5</v>
      </c>
      <c r="G103" s="82">
        <f>E103*150000</f>
        <v>-8.2996375281641792E-16</v>
      </c>
      <c r="H103" s="26">
        <f>F103*150000</f>
        <v>2.2581311118967546</v>
      </c>
      <c r="I103" s="82">
        <f>C103+G103</f>
        <v>-3.4027755081245199E-15</v>
      </c>
      <c r="J103" s="197">
        <f>D103+H103</f>
        <v>-11.741868888103244</v>
      </c>
      <c r="S103" s="3"/>
      <c r="T103" s="3"/>
      <c r="U103" s="3"/>
      <c r="V103" s="3"/>
      <c r="W103" s="3"/>
    </row>
    <row r="104" spans="2:23" x14ac:dyDescent="0.2">
      <c r="B104" s="356">
        <f>B103+PI()/20</f>
        <v>4.8694686130641793</v>
      </c>
      <c r="C104" s="82">
        <f>14*COS(B104)</f>
        <v>2.1900825105632293</v>
      </c>
      <c r="D104" s="26">
        <f>14*SIN(B104)</f>
        <v>-13.827636768331928</v>
      </c>
      <c r="E104" s="1195">
        <f>$I$4*COS(B104)</f>
        <v>4.7099937664036013E-6</v>
      </c>
      <c r="F104" s="1193">
        <f>-0.5*$I$4*SIN(B104)</f>
        <v>1.4868865138370393E-5</v>
      </c>
      <c r="G104" s="82">
        <f>E104*150000</f>
        <v>0.70649906496054016</v>
      </c>
      <c r="H104" s="26">
        <f>F104*150000</f>
        <v>2.2303297707555587</v>
      </c>
      <c r="I104" s="82">
        <f>C103</f>
        <v>-2.572811755308102E-15</v>
      </c>
      <c r="J104" s="197">
        <f>D103</f>
        <v>-14</v>
      </c>
      <c r="S104" s="3"/>
      <c r="T104" s="3"/>
      <c r="U104" s="3"/>
      <c r="V104" s="3"/>
      <c r="W104" s="3"/>
    </row>
    <row r="105" spans="2:23" x14ac:dyDescent="0.2">
      <c r="B105" s="356"/>
      <c r="C105" s="82"/>
      <c r="D105" s="26"/>
      <c r="E105" s="1195"/>
      <c r="F105" s="1193"/>
      <c r="G105" s="82"/>
      <c r="H105" s="26"/>
      <c r="I105" s="82"/>
      <c r="J105" s="197"/>
      <c r="S105" s="3"/>
      <c r="T105" s="3"/>
      <c r="U105" s="3"/>
      <c r="V105" s="3"/>
      <c r="W105" s="3"/>
    </row>
    <row r="106" spans="2:23" x14ac:dyDescent="0.2">
      <c r="B106" s="356">
        <f>B104+PI()/20</f>
        <v>5.026548245743669</v>
      </c>
      <c r="C106" s="82">
        <f>14*COS(B106)</f>
        <v>4.3262379212492608</v>
      </c>
      <c r="D106" s="26">
        <f>14*SIN(B106)</f>
        <v>-13.314791228132151</v>
      </c>
      <c r="E106" s="1195">
        <f>$I$4*COS(B106)</f>
        <v>9.3040118547052373E-6</v>
      </c>
      <c r="F106" s="1193">
        <f>-0.5*$I$4*SIN(B106)</f>
        <v>1.4317402057454861E-5</v>
      </c>
      <c r="G106" s="82">
        <f>E106*150000</f>
        <v>1.3956017782057857</v>
      </c>
      <c r="H106" s="26">
        <f>F106*150000</f>
        <v>2.1476103086182294</v>
      </c>
      <c r="I106" s="82">
        <f>C106+G106</f>
        <v>5.721839699455046</v>
      </c>
      <c r="J106" s="197">
        <f>D106+H106</f>
        <v>-11.167180919513921</v>
      </c>
      <c r="S106" s="3"/>
      <c r="T106" s="3"/>
      <c r="U106" s="3"/>
      <c r="V106" s="3"/>
      <c r="W106" s="3"/>
    </row>
    <row r="107" spans="2:23" x14ac:dyDescent="0.2">
      <c r="B107" s="356">
        <f>B106+PI()/20</f>
        <v>5.1836278784231586</v>
      </c>
      <c r="C107" s="82">
        <f>14*COS(B107)</f>
        <v>6.3558669963536527</v>
      </c>
      <c r="D107" s="26">
        <f>14*SIN(B107)</f>
        <v>-12.47409133863715</v>
      </c>
      <c r="E107" s="1195">
        <f>$I$4*COS(B107)</f>
        <v>1.3668934292899009E-5</v>
      </c>
      <c r="F107" s="1193">
        <f>-0.5*$I$4*SIN(B107)</f>
        <v>1.3413397021151612E-5</v>
      </c>
      <c r="G107" s="82">
        <f>E107*150000</f>
        <v>2.0503401439348514</v>
      </c>
      <c r="H107" s="26">
        <f>F107*150000</f>
        <v>2.0120095531727418</v>
      </c>
      <c r="I107" s="82">
        <f>C106</f>
        <v>4.3262379212492608</v>
      </c>
      <c r="J107" s="197">
        <f>D106</f>
        <v>-13.314791228132151</v>
      </c>
      <c r="S107" s="3"/>
      <c r="T107" s="3"/>
      <c r="U107" s="3"/>
      <c r="V107" s="3"/>
      <c r="W107" s="3"/>
    </row>
    <row r="108" spans="2:23" x14ac:dyDescent="0.2">
      <c r="B108" s="356"/>
      <c r="C108" s="82"/>
      <c r="D108" s="26"/>
      <c r="E108" s="1195"/>
      <c r="F108" s="1193"/>
      <c r="G108" s="82"/>
      <c r="H108" s="26"/>
      <c r="I108" s="82"/>
      <c r="J108" s="197"/>
      <c r="S108" s="3"/>
      <c r="T108" s="3"/>
      <c r="U108" s="3"/>
      <c r="V108" s="3"/>
      <c r="W108" s="3"/>
    </row>
    <row r="109" spans="2:23" x14ac:dyDescent="0.2">
      <c r="B109" s="356">
        <f>B107+PI()/20</f>
        <v>5.3407075111026483</v>
      </c>
      <c r="C109" s="82">
        <f>14*COS(B109)</f>
        <v>8.2289935320946199</v>
      </c>
      <c r="D109" s="26">
        <f>14*SIN(B109)</f>
        <v>-11.326237921249266</v>
      </c>
      <c r="E109" s="1195">
        <f>$I$4*COS(B109)</f>
        <v>1.7697282204209552E-5</v>
      </c>
      <c r="F109" s="1193">
        <f>-0.5*$I$4*SIN(B109)</f>
        <v>1.2179109633675139E-5</v>
      </c>
      <c r="G109" s="82">
        <f>E109*150000</f>
        <v>2.654592330631433</v>
      </c>
      <c r="H109" s="26">
        <f>F109*150000</f>
        <v>1.8268664450512708</v>
      </c>
      <c r="I109" s="82">
        <f>C109+G109</f>
        <v>10.883585862726052</v>
      </c>
      <c r="J109" s="197">
        <f>D109+H109</f>
        <v>-9.4993714761979948</v>
      </c>
      <c r="S109" s="3"/>
      <c r="T109" s="3"/>
      <c r="U109" s="3"/>
      <c r="V109" s="3"/>
      <c r="W109" s="3"/>
    </row>
    <row r="110" spans="2:23" x14ac:dyDescent="0.2">
      <c r="B110" s="356">
        <f>B109+PI()/20</f>
        <v>5.497787143782138</v>
      </c>
      <c r="C110" s="82">
        <f>14*COS(B110)</f>
        <v>9.8994949366116636</v>
      </c>
      <c r="D110" s="26">
        <f>14*SIN(B110)</f>
        <v>-9.8994949366116671</v>
      </c>
      <c r="E110" s="1195">
        <f>$I$4*COS(B110)</f>
        <v>2.1289864293740176E-5</v>
      </c>
      <c r="F110" s="1193">
        <f>-0.5*$I$4*SIN(B110)</f>
        <v>1.0644932146870093E-5</v>
      </c>
      <c r="G110" s="82">
        <f>E110*150000</f>
        <v>3.1934796440610262</v>
      </c>
      <c r="H110" s="26">
        <f>F110*150000</f>
        <v>1.596739822030514</v>
      </c>
      <c r="I110" s="82">
        <f>C109</f>
        <v>8.2289935320946199</v>
      </c>
      <c r="J110" s="197">
        <f>D109</f>
        <v>-11.326237921249266</v>
      </c>
      <c r="S110" s="3"/>
      <c r="T110" s="3"/>
      <c r="U110" s="3"/>
      <c r="V110" s="3"/>
      <c r="W110" s="3"/>
    </row>
    <row r="111" spans="2:23" x14ac:dyDescent="0.2">
      <c r="B111" s="356"/>
      <c r="C111" s="82"/>
      <c r="D111" s="26"/>
      <c r="E111" s="1195"/>
      <c r="F111" s="1193"/>
      <c r="G111" s="82"/>
      <c r="H111" s="26"/>
      <c r="I111" s="82"/>
      <c r="J111" s="197"/>
      <c r="S111" s="3"/>
      <c r="T111" s="3"/>
      <c r="U111" s="3"/>
      <c r="V111" s="3"/>
      <c r="W111" s="3"/>
    </row>
    <row r="112" spans="2:23" x14ac:dyDescent="0.2">
      <c r="B112" s="356">
        <f>B110+PI()/20</f>
        <v>5.6548667764616276</v>
      </c>
      <c r="C112" s="82">
        <f>14*COS(B112)</f>
        <v>11.326237921249263</v>
      </c>
      <c r="D112" s="26">
        <f>14*SIN(B112)</f>
        <v>-8.228993532094627</v>
      </c>
      <c r="E112" s="1195">
        <f>$I$4*COS(B112)</f>
        <v>2.4358219267350272E-5</v>
      </c>
      <c r="F112" s="1193">
        <f>-0.5*$I$4*SIN(B112)</f>
        <v>8.8486411021047827E-6</v>
      </c>
      <c r="G112" s="82">
        <f>E112*150000</f>
        <v>3.6537328901025408</v>
      </c>
      <c r="H112" s="26">
        <f>F112*150000</f>
        <v>1.3272961653157174</v>
      </c>
      <c r="I112" s="82">
        <f>C112+G112</f>
        <v>14.979970811351803</v>
      </c>
      <c r="J112" s="197">
        <f>D112+H112</f>
        <v>-6.9016973667789099</v>
      </c>
      <c r="S112" s="3"/>
      <c r="T112" s="3"/>
      <c r="U112" s="3"/>
      <c r="V112" s="3"/>
      <c r="W112" s="3"/>
    </row>
    <row r="113" spans="2:23" x14ac:dyDescent="0.2">
      <c r="B113" s="356">
        <f>B112+PI()/20</f>
        <v>5.8119464091411173</v>
      </c>
      <c r="C113" s="82">
        <f>14*COS(B113)</f>
        <v>12.474091338637148</v>
      </c>
      <c r="D113" s="26">
        <f>14*SIN(B113)</f>
        <v>-6.355866996353658</v>
      </c>
      <c r="E113" s="1195">
        <f>$I$4*COS(B113)</f>
        <v>2.682679404230322E-5</v>
      </c>
      <c r="F113" s="1193">
        <f>-0.5*$I$4*SIN(B113)</f>
        <v>6.8344671464495098E-6</v>
      </c>
      <c r="G113" s="82">
        <f>E113*150000</f>
        <v>4.0240191063454827</v>
      </c>
      <c r="H113" s="26">
        <f>F113*150000</f>
        <v>1.0251700719674264</v>
      </c>
      <c r="I113" s="82">
        <f>C112</f>
        <v>11.326237921249263</v>
      </c>
      <c r="J113" s="197">
        <f>D112</f>
        <v>-8.228993532094627</v>
      </c>
      <c r="S113" s="3"/>
      <c r="T113" s="3"/>
      <c r="U113" s="3"/>
      <c r="V113" s="3"/>
      <c r="W113" s="3"/>
    </row>
    <row r="114" spans="2:23" x14ac:dyDescent="0.2">
      <c r="B114" s="356"/>
      <c r="C114" s="82"/>
      <c r="D114" s="26"/>
      <c r="E114" s="1195"/>
      <c r="F114" s="1193"/>
      <c r="G114" s="82"/>
      <c r="H114" s="26"/>
      <c r="I114" s="82"/>
      <c r="J114" s="197"/>
      <c r="S114" s="3"/>
      <c r="T114" s="3"/>
      <c r="U114" s="3"/>
      <c r="V114" s="3"/>
      <c r="W114" s="3"/>
    </row>
    <row r="115" spans="2:23" x14ac:dyDescent="0.2">
      <c r="B115" s="356">
        <f>B113+PI()/20</f>
        <v>5.9690260418206069</v>
      </c>
      <c r="C115" s="82">
        <f>14*COS(B115)</f>
        <v>13.314791228132149</v>
      </c>
      <c r="D115" s="26">
        <f>14*SIN(B115)</f>
        <v>-4.326237921249267</v>
      </c>
      <c r="E115" s="1195">
        <f>$I$4*COS(B115)</f>
        <v>2.8634804114909719E-5</v>
      </c>
      <c r="F115" s="1193">
        <f>-0.5*$I$4*SIN(B115)</f>
        <v>4.6520059273526246E-6</v>
      </c>
      <c r="G115" s="82">
        <f>E115*150000</f>
        <v>4.295220617236458</v>
      </c>
      <c r="H115" s="26">
        <f>F115*150000</f>
        <v>0.69780088910289373</v>
      </c>
      <c r="I115" s="82">
        <f>C115+G115</f>
        <v>17.610011845368607</v>
      </c>
      <c r="J115" s="197">
        <f>D115+H115</f>
        <v>-3.6284370321463735</v>
      </c>
      <c r="S115" s="3"/>
      <c r="T115" s="3"/>
      <c r="U115" s="3"/>
      <c r="V115" s="3"/>
      <c r="W115" s="3"/>
    </row>
    <row r="116" spans="2:23" x14ac:dyDescent="0.2">
      <c r="B116" s="356">
        <f>B115+PI()/20</f>
        <v>6.1261056745000966</v>
      </c>
      <c r="C116" s="82">
        <f>14*COS(B116)</f>
        <v>13.827636768331928</v>
      </c>
      <c r="D116" s="26">
        <f>14*SIN(B116)</f>
        <v>-2.1900825105632356</v>
      </c>
      <c r="E116" s="1195">
        <f>$I$4*COS(B116)</f>
        <v>2.9737730276740782E-5</v>
      </c>
      <c r="F116" s="1193">
        <f>-0.5*$I$4*SIN(B116)</f>
        <v>2.3549968832018074E-6</v>
      </c>
      <c r="G116" s="82">
        <f>E116*150000</f>
        <v>4.4606595415111174</v>
      </c>
      <c r="H116" s="26">
        <f>F116*150000</f>
        <v>0.35324953248027113</v>
      </c>
      <c r="I116" s="82">
        <f>C115</f>
        <v>13.314791228132149</v>
      </c>
      <c r="J116" s="197">
        <f>D115</f>
        <v>-4.326237921249267</v>
      </c>
      <c r="S116" s="3"/>
      <c r="T116" s="3"/>
      <c r="U116" s="3"/>
      <c r="V116" s="3"/>
      <c r="W116" s="3"/>
    </row>
    <row r="117" spans="2:23" x14ac:dyDescent="0.2">
      <c r="B117" s="356"/>
      <c r="C117" s="82"/>
      <c r="D117" s="26"/>
      <c r="E117" s="1195"/>
      <c r="F117" s="1193"/>
      <c r="G117" s="82"/>
      <c r="H117" s="26"/>
      <c r="I117" s="82"/>
      <c r="J117" s="197"/>
    </row>
    <row r="118" spans="2:23" ht="13.5" thickBot="1" x14ac:dyDescent="0.25">
      <c r="B118" s="1060">
        <f>B116+PI()/20</f>
        <v>6.2831853071795862</v>
      </c>
      <c r="C118" s="129">
        <f>14*COS(B118)</f>
        <v>14</v>
      </c>
      <c r="D118" s="265">
        <f>14*SIN(B118)</f>
        <v>-3.430415673744136E-15</v>
      </c>
      <c r="E118" s="1198">
        <f>$I$4*COS(B118)</f>
        <v>3.0108414825290062E-5</v>
      </c>
      <c r="F118" s="1199">
        <f>-0.5*$I$4*SIN(B118)</f>
        <v>3.6887277902951909E-21</v>
      </c>
      <c r="G118" s="129">
        <f>E118*150000</f>
        <v>4.5162622237935093</v>
      </c>
      <c r="H118" s="265">
        <f>F118*150000</f>
        <v>5.5330916854427865E-16</v>
      </c>
      <c r="I118" s="129">
        <f>C118+G118</f>
        <v>18.516262223793511</v>
      </c>
      <c r="J118" s="267">
        <f>D118+H118</f>
        <v>-2.8771065051998573E-15</v>
      </c>
    </row>
    <row r="147" spans="1:18" x14ac:dyDescent="0.2">
      <c r="A147" s="346"/>
      <c r="K147" s="346"/>
      <c r="L147" s="346"/>
      <c r="M147" s="346"/>
      <c r="N147" s="346"/>
      <c r="O147" s="346"/>
      <c r="P147" s="346"/>
      <c r="Q147" s="346"/>
      <c r="R147" s="346"/>
    </row>
  </sheetData>
  <mergeCells count="7">
    <mergeCell ref="B2:H2"/>
    <mergeCell ref="H39:I39"/>
    <mergeCell ref="I57:J57"/>
    <mergeCell ref="I52:J52"/>
    <mergeCell ref="B52:H52"/>
    <mergeCell ref="B53:G53"/>
    <mergeCell ref="C56:D56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Exzentrizität</vt:lpstr>
      <vt:lpstr>Knotenlinie</vt:lpstr>
      <vt:lpstr>Inklination</vt:lpstr>
      <vt:lpstr>Mondbahn</vt:lpstr>
      <vt:lpstr>Rosettenbahn</vt:lpstr>
      <vt:lpstr>Finsternisse</vt:lpstr>
      <vt:lpstr>Vektoren der Störbeschleunigung</vt:lpstr>
    </vt:vector>
  </TitlesOfParts>
  <Company>Privat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Albrecht Schultz</dc:creator>
  <cp:lastModifiedBy>Windows-Benutzer</cp:lastModifiedBy>
  <cp:lastPrinted>2010-07-23T15:58:43Z</cp:lastPrinted>
  <dcterms:created xsi:type="dcterms:W3CDTF">2007-07-02T20:31:04Z</dcterms:created>
  <dcterms:modified xsi:type="dcterms:W3CDTF">2018-06-20T10:58:21Z</dcterms:modified>
</cp:coreProperties>
</file>