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/>
  <bookViews>
    <workbookView xWindow="360" yWindow="240" windowWidth="7260" windowHeight="6765"/>
  </bookViews>
  <sheets>
    <sheet name="Bahn, trop. Monat" sheetId="1" r:id="rId1"/>
    <sheet name="Synod. Monat" sheetId="2" r:id="rId2"/>
    <sheet name="Anom. u. sid. Monat" sheetId="4" r:id="rId3"/>
  </sheets>
  <externalReferences>
    <externalReference r:id="rId4"/>
  </externalReferences>
  <calcPr calcId="144525"/>
  <customWorkbookViews>
    <customWorkbookView name="User - Persönliche Ansicht" guid="{09500FC5-7974-49D3-BF41-620D2193BB0B}" mergeInterval="0" personalView="1" maximized="1" xWindow="1" yWindow="1" windowWidth="1280" windowHeight="537" activeSheetId="2"/>
  </customWorkbookViews>
</workbook>
</file>

<file path=xl/calcChain.xml><?xml version="1.0" encoding="utf-8"?>
<calcChain xmlns="http://schemas.openxmlformats.org/spreadsheetml/2006/main">
  <c r="U41" i="1" l="1"/>
  <c r="X41" i="1" s="1"/>
  <c r="U40" i="1"/>
  <c r="W40" i="1" s="1"/>
  <c r="W41" i="1" l="1"/>
  <c r="X40" i="1"/>
  <c r="N5" i="4" l="1"/>
  <c r="E64" i="2"/>
  <c r="E57" i="2"/>
  <c r="E50" i="2"/>
  <c r="E19" i="2"/>
  <c r="B40" i="2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K55" i="2"/>
  <c r="D64" i="2"/>
  <c r="D65" i="2"/>
  <c r="D66" i="2"/>
  <c r="D67" i="2"/>
  <c r="D68" i="2"/>
  <c r="D69" i="2"/>
  <c r="D70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K38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L7" i="1"/>
  <c r="K7" i="1"/>
  <c r="N6" i="4" l="1"/>
  <c r="R6" i="4"/>
  <c r="R7" i="4"/>
  <c r="M56" i="2"/>
  <c r="K58" i="2" s="1"/>
  <c r="M55" i="2"/>
  <c r="D72" i="2"/>
  <c r="D73" i="2"/>
  <c r="M58" i="2"/>
  <c r="D74" i="2"/>
  <c r="F87" i="4"/>
  <c r="F88" i="4"/>
  <c r="F89" i="4"/>
  <c r="F90" i="4"/>
  <c r="F91" i="4"/>
  <c r="F92" i="4"/>
  <c r="F93" i="4"/>
  <c r="F94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5" i="4" l="1"/>
  <c r="F36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4" i="4"/>
  <c r="C5" i="4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D7" i="1"/>
  <c r="O7" i="1"/>
  <c r="P7" i="1"/>
  <c r="Q7" i="1"/>
  <c r="R7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D8" i="1"/>
  <c r="H8" i="1"/>
  <c r="N8" i="1"/>
  <c r="O8" i="1" s="1"/>
  <c r="D9" i="1"/>
  <c r="H9" i="1"/>
  <c r="D10" i="1"/>
  <c r="H10" i="1"/>
  <c r="D11" i="1"/>
  <c r="H11" i="1"/>
  <c r="D12" i="1"/>
  <c r="H12" i="1"/>
  <c r="D13" i="1"/>
  <c r="H13" i="1"/>
  <c r="D14" i="1"/>
  <c r="H14" i="1"/>
  <c r="D15" i="1"/>
  <c r="H15" i="1"/>
  <c r="D16" i="1"/>
  <c r="H16" i="1"/>
  <c r="D17" i="1"/>
  <c r="H17" i="1"/>
  <c r="D18" i="1"/>
  <c r="H18" i="1"/>
  <c r="D19" i="1"/>
  <c r="H19" i="1"/>
  <c r="D20" i="1"/>
  <c r="H20" i="1"/>
  <c r="D21" i="1"/>
  <c r="H21" i="1"/>
  <c r="C22" i="1"/>
  <c r="J45" i="1" s="1"/>
  <c r="H22" i="1"/>
  <c r="D23" i="1"/>
  <c r="H23" i="1"/>
  <c r="D24" i="1"/>
  <c r="H24" i="1"/>
  <c r="D25" i="1"/>
  <c r="H25" i="1"/>
  <c r="D26" i="1"/>
  <c r="H26" i="1"/>
  <c r="D27" i="1"/>
  <c r="H27" i="1"/>
  <c r="D28" i="1"/>
  <c r="H28" i="1"/>
  <c r="D29" i="1"/>
  <c r="H29" i="1"/>
  <c r="D30" i="1"/>
  <c r="H30" i="1"/>
  <c r="D31" i="1"/>
  <c r="H31" i="1"/>
  <c r="D32" i="1"/>
  <c r="H32" i="1"/>
  <c r="D33" i="1"/>
  <c r="H33" i="1"/>
  <c r="D34" i="1"/>
  <c r="H34" i="1"/>
  <c r="D35" i="1"/>
  <c r="H35" i="1"/>
  <c r="D36" i="1"/>
  <c r="H36" i="1"/>
  <c r="D37" i="1"/>
  <c r="H37" i="1"/>
  <c r="J44" i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G11" i="1" l="1"/>
  <c r="Q8" i="1"/>
  <c r="K22" i="1"/>
  <c r="L22" i="1"/>
  <c r="D32" i="2"/>
  <c r="D22" i="1"/>
  <c r="G23" i="1" s="1"/>
  <c r="I23" i="1" s="1"/>
  <c r="J23" i="1" s="1"/>
  <c r="I11" i="1"/>
  <c r="J11" i="1" s="1"/>
  <c r="G37" i="1"/>
  <c r="I37" i="1" s="1"/>
  <c r="J37" i="1" s="1"/>
  <c r="G30" i="1"/>
  <c r="I30" i="1" s="1"/>
  <c r="J30" i="1" s="1"/>
  <c r="G19" i="1"/>
  <c r="I19" i="1" s="1"/>
  <c r="J19" i="1" s="1"/>
  <c r="N9" i="1"/>
  <c r="R9" i="1" s="1"/>
  <c r="P8" i="1"/>
  <c r="G34" i="1"/>
  <c r="I34" i="1" s="1"/>
  <c r="J34" i="1" s="1"/>
  <c r="G26" i="1"/>
  <c r="I26" i="1" s="1"/>
  <c r="J26" i="1" s="1"/>
  <c r="G15" i="1"/>
  <c r="I15" i="1" s="1"/>
  <c r="J15" i="1" s="1"/>
  <c r="R8" i="1"/>
  <c r="G35" i="1"/>
  <c r="I35" i="1" s="1"/>
  <c r="J35" i="1" s="1"/>
  <c r="G32" i="1"/>
  <c r="I32" i="1" s="1"/>
  <c r="J32" i="1" s="1"/>
  <c r="G28" i="1"/>
  <c r="I28" i="1" s="1"/>
  <c r="J28" i="1" s="1"/>
  <c r="G24" i="1"/>
  <c r="I24" i="1" s="1"/>
  <c r="J24" i="1" s="1"/>
  <c r="G20" i="1"/>
  <c r="I20" i="1" s="1"/>
  <c r="J20" i="1" s="1"/>
  <c r="G17" i="1"/>
  <c r="I17" i="1" s="1"/>
  <c r="J17" i="1" s="1"/>
  <c r="G13" i="1"/>
  <c r="I13" i="1" s="1"/>
  <c r="J13" i="1" s="1"/>
  <c r="P9" i="1"/>
  <c r="G8" i="1"/>
  <c r="I8" i="1" s="1"/>
  <c r="J8" i="1" s="1"/>
  <c r="I44" i="1"/>
  <c r="B22" i="1"/>
  <c r="G36" i="1"/>
  <c r="I36" i="1" s="1"/>
  <c r="J36" i="1" s="1"/>
  <c r="G33" i="1"/>
  <c r="I33" i="1" s="1"/>
  <c r="J33" i="1" s="1"/>
  <c r="G31" i="1"/>
  <c r="I31" i="1" s="1"/>
  <c r="J31" i="1" s="1"/>
  <c r="G29" i="1"/>
  <c r="I29" i="1" s="1"/>
  <c r="J29" i="1" s="1"/>
  <c r="G27" i="1"/>
  <c r="I27" i="1" s="1"/>
  <c r="J27" i="1" s="1"/>
  <c r="G25" i="1"/>
  <c r="I25" i="1" s="1"/>
  <c r="J25" i="1" s="1"/>
  <c r="G21" i="1"/>
  <c r="I21" i="1" s="1"/>
  <c r="J21" i="1" s="1"/>
  <c r="G18" i="1"/>
  <c r="I18" i="1" s="1"/>
  <c r="J18" i="1" s="1"/>
  <c r="G16" i="1"/>
  <c r="I16" i="1" s="1"/>
  <c r="J16" i="1" s="1"/>
  <c r="G14" i="1"/>
  <c r="I14" i="1" s="1"/>
  <c r="J14" i="1" s="1"/>
  <c r="G12" i="1"/>
  <c r="I12" i="1" s="1"/>
  <c r="J12" i="1" s="1"/>
  <c r="G10" i="1"/>
  <c r="I10" i="1" s="1"/>
  <c r="J10" i="1" s="1"/>
  <c r="G9" i="1"/>
  <c r="I9" i="1" s="1"/>
  <c r="J9" i="1" s="1"/>
  <c r="G22" i="1" l="1"/>
  <c r="I22" i="1" s="1"/>
  <c r="J22" i="1" s="1"/>
  <c r="O9" i="1"/>
  <c r="Q9" i="1"/>
  <c r="N10" i="1"/>
  <c r="B23" i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I45" i="1"/>
  <c r="P10" i="1" l="1"/>
  <c r="R10" i="1"/>
  <c r="N11" i="1"/>
  <c r="O10" i="1"/>
  <c r="Q10" i="1"/>
  <c r="Q11" i="1" l="1"/>
  <c r="O11" i="1"/>
  <c r="P11" i="1"/>
  <c r="N12" i="1"/>
  <c r="R11" i="1"/>
  <c r="P12" i="1" l="1"/>
  <c r="N13" i="1"/>
  <c r="R12" i="1"/>
  <c r="Q12" i="1"/>
  <c r="O12" i="1"/>
  <c r="Q13" i="1" l="1"/>
  <c r="N14" i="1"/>
  <c r="P13" i="1"/>
  <c r="O13" i="1"/>
  <c r="R13" i="1"/>
  <c r="P14" i="1" l="1"/>
  <c r="R14" i="1"/>
  <c r="O14" i="1"/>
  <c r="N15" i="1"/>
  <c r="Q14" i="1"/>
  <c r="R15" i="1" l="1"/>
  <c r="Q15" i="1"/>
  <c r="O15" i="1"/>
  <c r="N16" i="1"/>
  <c r="P15" i="1"/>
  <c r="P16" i="1" l="1"/>
  <c r="N17" i="1"/>
  <c r="Q16" i="1"/>
  <c r="R16" i="1"/>
  <c r="O16" i="1"/>
  <c r="Q17" i="1" l="1"/>
  <c r="P17" i="1"/>
  <c r="R17" i="1"/>
  <c r="O17" i="1"/>
  <c r="N18" i="1"/>
  <c r="P18" i="1" l="1"/>
  <c r="R18" i="1"/>
  <c r="O18" i="1"/>
  <c r="N19" i="1"/>
  <c r="Q18" i="1"/>
  <c r="Q19" i="1" l="1"/>
  <c r="P19" i="1"/>
  <c r="R19" i="1"/>
  <c r="N20" i="1"/>
  <c r="O19" i="1"/>
  <c r="P20" i="1" l="1"/>
  <c r="N21" i="1"/>
  <c r="Q20" i="1"/>
  <c r="R20" i="1"/>
  <c r="O20" i="1"/>
  <c r="Q21" i="1" l="1"/>
  <c r="P21" i="1"/>
  <c r="N22" i="1"/>
  <c r="O21" i="1"/>
  <c r="R21" i="1"/>
  <c r="R22" i="1" l="1"/>
  <c r="N23" i="1"/>
  <c r="P22" i="1"/>
  <c r="O22" i="1"/>
  <c r="Q22" i="1"/>
  <c r="R23" i="1" l="1"/>
  <c r="N24" i="1"/>
  <c r="P23" i="1"/>
  <c r="Q23" i="1"/>
  <c r="O23" i="1"/>
  <c r="Q24" i="1" l="1"/>
  <c r="N25" i="1"/>
  <c r="R24" i="1"/>
  <c r="O24" i="1"/>
  <c r="P24" i="1"/>
  <c r="Q25" i="1" l="1"/>
  <c r="N26" i="1"/>
  <c r="R25" i="1"/>
  <c r="P25" i="1"/>
  <c r="O25" i="1"/>
  <c r="Q26" i="1" l="1"/>
  <c r="R26" i="1"/>
  <c r="N27" i="1"/>
  <c r="P26" i="1"/>
  <c r="O26" i="1"/>
  <c r="P27" i="1" l="1"/>
  <c r="O27" i="1"/>
  <c r="Q27" i="1"/>
  <c r="R27" i="1"/>
  <c r="N28" i="1"/>
  <c r="Q28" i="1" l="1"/>
  <c r="R28" i="1"/>
  <c r="P28" i="1"/>
  <c r="O28" i="1"/>
  <c r="N29" i="1"/>
  <c r="P29" i="1" l="1"/>
  <c r="Q29" i="1"/>
  <c r="O29" i="1"/>
  <c r="N30" i="1"/>
  <c r="R29" i="1"/>
  <c r="Q30" i="1" l="1"/>
  <c r="N31" i="1"/>
  <c r="P30" i="1"/>
  <c r="O30" i="1"/>
  <c r="R30" i="1"/>
  <c r="P31" i="1" l="1"/>
  <c r="O31" i="1"/>
  <c r="Q31" i="1"/>
  <c r="R31" i="1"/>
  <c r="N32" i="1"/>
  <c r="Q32" i="1" l="1"/>
  <c r="R32" i="1"/>
  <c r="O32" i="1"/>
  <c r="P32" i="1"/>
  <c r="N33" i="1"/>
  <c r="P33" i="1" l="1"/>
  <c r="Q33" i="1"/>
  <c r="O33" i="1"/>
  <c r="N34" i="1"/>
  <c r="R33" i="1"/>
  <c r="Q34" i="1" l="1"/>
  <c r="O34" i="1"/>
  <c r="P34" i="1"/>
  <c r="R34" i="1"/>
  <c r="N35" i="1"/>
  <c r="P35" i="1" l="1"/>
  <c r="O35" i="1"/>
  <c r="N36" i="1"/>
  <c r="R35" i="1"/>
  <c r="Q35" i="1"/>
  <c r="P36" i="1" l="1"/>
  <c r="R36" i="1"/>
  <c r="O36" i="1"/>
  <c r="Q36" i="1"/>
  <c r="N37" i="1"/>
  <c r="P37" i="1" l="1"/>
  <c r="Q37" i="1"/>
  <c r="R37" i="1"/>
  <c r="N38" i="1"/>
  <c r="O37" i="1"/>
  <c r="P38" i="1" l="1"/>
  <c r="N39" i="1"/>
  <c r="R38" i="1"/>
  <c r="Q38" i="1"/>
  <c r="O38" i="1"/>
  <c r="R39" i="1" l="1"/>
  <c r="N40" i="1"/>
  <c r="P39" i="1"/>
  <c r="Q39" i="1"/>
  <c r="O39" i="1"/>
  <c r="R40" i="1" l="1"/>
  <c r="P40" i="1"/>
  <c r="O40" i="1"/>
  <c r="Q40" i="1"/>
  <c r="N41" i="1"/>
  <c r="O41" i="1" l="1"/>
  <c r="R41" i="1"/>
  <c r="Q41" i="1"/>
  <c r="P41" i="1"/>
  <c r="N42" i="1"/>
  <c r="Q42" i="1" l="1"/>
  <c r="P42" i="1"/>
  <c r="R42" i="1"/>
  <c r="O42" i="1"/>
  <c r="N43" i="1"/>
  <c r="P43" i="1" l="1"/>
  <c r="O43" i="1"/>
  <c r="R43" i="1"/>
  <c r="N44" i="1"/>
  <c r="Q43" i="1"/>
  <c r="Q44" i="1" l="1"/>
  <c r="N45" i="1"/>
  <c r="P44" i="1"/>
  <c r="R44" i="1"/>
  <c r="O44" i="1"/>
  <c r="O45" i="1" l="1"/>
  <c r="Q45" i="1"/>
  <c r="N46" i="1"/>
  <c r="P45" i="1"/>
  <c r="R45" i="1"/>
  <c r="O46" i="1" l="1"/>
  <c r="Q46" i="1"/>
  <c r="P46" i="1"/>
  <c r="R46" i="1"/>
  <c r="N47" i="1"/>
  <c r="R47" i="1" l="1"/>
  <c r="P47" i="1"/>
  <c r="O47" i="1"/>
  <c r="Q47" i="1"/>
</calcChain>
</file>

<file path=xl/sharedStrings.xml><?xml version="1.0" encoding="utf-8"?>
<sst xmlns="http://schemas.openxmlformats.org/spreadsheetml/2006/main" count="121" uniqueCount="96">
  <si>
    <t>(Bogen)</t>
  </si>
  <si>
    <t>r</t>
  </si>
  <si>
    <t>Flächen-</t>
  </si>
  <si>
    <t>Konstante</t>
  </si>
  <si>
    <t>Datum</t>
  </si>
  <si>
    <t>Nr.</t>
  </si>
  <si>
    <t>A</t>
  </si>
  <si>
    <t>km</t>
  </si>
  <si>
    <t>Vollmond (MEZ)</t>
  </si>
  <si>
    <r>
      <t xml:space="preserve">l </t>
    </r>
    <r>
      <rPr>
        <sz val="11"/>
        <rFont val="Symbol"/>
        <family val="1"/>
        <charset val="2"/>
      </rPr>
      <t>(°)</t>
    </r>
  </si>
  <si>
    <r>
      <t>l</t>
    </r>
    <r>
      <rPr>
        <sz val="11"/>
        <rFont val="Symbol"/>
        <family val="1"/>
        <charset val="2"/>
      </rPr>
      <t xml:space="preserve"> (°)</t>
    </r>
  </si>
  <si>
    <r>
      <t xml:space="preserve">b </t>
    </r>
    <r>
      <rPr>
        <sz val="11"/>
        <rFont val="Symbol"/>
        <family val="1"/>
        <charset val="2"/>
      </rPr>
      <t>(°)</t>
    </r>
  </si>
  <si>
    <r>
      <t>(10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km)</t>
    </r>
  </si>
  <si>
    <r>
      <t>r</t>
    </r>
    <r>
      <rPr>
        <vertAlign val="subscript"/>
        <sz val="10"/>
        <rFont val="Arial"/>
        <family val="2"/>
      </rPr>
      <t>max =</t>
    </r>
  </si>
  <si>
    <r>
      <t>r</t>
    </r>
    <r>
      <rPr>
        <vertAlign val="subscript"/>
        <sz val="10"/>
        <rFont val="Arial"/>
        <family val="2"/>
      </rPr>
      <t>min =</t>
    </r>
  </si>
  <si>
    <t>laufend</t>
  </si>
  <si>
    <t>fort-</t>
  </si>
  <si>
    <r>
      <t>(km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/d)</t>
    </r>
  </si>
  <si>
    <t>Tages-</t>
  </si>
  <si>
    <t>Ergänzung</t>
  </si>
  <si>
    <t>Frühlingspunkt</t>
  </si>
  <si>
    <t>absteig. Knoten</t>
  </si>
  <si>
    <t>aufsteig. Knoten</t>
  </si>
  <si>
    <t>Apogäum</t>
  </si>
  <si>
    <t>Perigäum</t>
  </si>
  <si>
    <t>x</t>
  </si>
  <si>
    <t>y</t>
  </si>
  <si>
    <t>(Bogen-</t>
  </si>
  <si>
    <t>maß)</t>
  </si>
  <si>
    <t>α</t>
  </si>
  <si>
    <t>Kreis 2 in Graph 2</t>
  </si>
  <si>
    <t>Kreis1 in Graph 2</t>
  </si>
  <si>
    <r>
      <t>D</t>
    </r>
    <r>
      <rPr>
        <i/>
        <sz val="9"/>
        <rFont val="Symbol"/>
        <family val="1"/>
        <charset val="2"/>
      </rPr>
      <t xml:space="preserve">f </t>
    </r>
    <r>
      <rPr>
        <sz val="9"/>
        <rFont val="Arial"/>
        <family val="2"/>
      </rPr>
      <t>in der</t>
    </r>
  </si>
  <si>
    <t>Umlaufebene</t>
  </si>
  <si>
    <t>(Bogenmaß)</t>
  </si>
  <si>
    <t>(1.10.08)</t>
  </si>
  <si>
    <t>14.11. Perigäum</t>
  </si>
  <si>
    <t>l</t>
  </si>
  <si>
    <t>Tage</t>
  </si>
  <si>
    <t>Siderische</t>
  </si>
  <si>
    <t>Umlaufzeit</t>
  </si>
  <si>
    <t xml:space="preserve">über Sternbedeckungen </t>
  </si>
  <si>
    <t>min-Anteil</t>
  </si>
  <si>
    <t>sec-Ant.</t>
  </si>
  <si>
    <r>
      <rPr>
        <i/>
        <sz val="10"/>
        <rFont val="Times New Roman"/>
        <family val="1"/>
      </rPr>
      <t>R</t>
    </r>
    <r>
      <rPr>
        <i/>
        <sz val="10"/>
        <rFont val="Symbol"/>
        <family val="1"/>
        <charset val="2"/>
      </rPr>
      <t xml:space="preserve"> </t>
    </r>
    <r>
      <rPr>
        <sz val="10"/>
        <rFont val="Times New Roman"/>
        <family val="1"/>
      </rPr>
      <t>in Winkel-Min.</t>
    </r>
  </si>
  <si>
    <t>min</t>
  </si>
  <si>
    <t xml:space="preserve">Tagesnr. </t>
  </si>
  <si>
    <r>
      <t xml:space="preserve"> </t>
    </r>
    <r>
      <rPr>
        <i/>
        <sz val="10"/>
        <rFont val="Arial"/>
        <family val="2"/>
      </rPr>
      <t>n</t>
    </r>
  </si>
  <si>
    <t>"Mondbahn"</t>
  </si>
  <si>
    <t xml:space="preserve">x </t>
  </si>
  <si>
    <t xml:space="preserve">y </t>
  </si>
  <si>
    <t>(7.09.),</t>
  </si>
  <si>
    <t>km  (20.09.)</t>
  </si>
  <si>
    <t>Zeitpunkt für</t>
  </si>
  <si>
    <t>20.05.08 bis 7.7.09:</t>
  </si>
  <si>
    <t xml:space="preserve">    Mittelwert </t>
  </si>
  <si>
    <t>20.10. Apogäum</t>
  </si>
  <si>
    <t>15.5. Perigäum</t>
  </si>
  <si>
    <t>7.12. Apogäum</t>
  </si>
  <si>
    <t>28.03.02 bis 16.5.03:</t>
  </si>
  <si>
    <t>21.10.02 bis 8.12.03:</t>
  </si>
  <si>
    <t xml:space="preserve">    Mittelwerte </t>
  </si>
  <si>
    <t xml:space="preserve">  16.5.03 bis 2.7.04:</t>
  </si>
  <si>
    <t>Vollmond</t>
  </si>
  <si>
    <t xml:space="preserve">3307,57222 : 8 = </t>
  </si>
  <si>
    <t>zeitlicher</t>
  </si>
  <si>
    <t>Abstand  (d)</t>
  </si>
  <si>
    <t>Nr. der</t>
  </si>
  <si>
    <t>Lunation</t>
  </si>
  <si>
    <t>Anz. der Jahre:</t>
  </si>
  <si>
    <r>
      <t xml:space="preserve">55 </t>
    </r>
    <r>
      <rPr>
        <b/>
        <sz val="9"/>
        <rFont val="Calibri"/>
        <family val="2"/>
      </rPr>
      <t>δ</t>
    </r>
    <r>
      <rPr>
        <b/>
        <sz val="9"/>
        <rFont val="Arial"/>
        <family val="2"/>
      </rPr>
      <t xml:space="preserve"> Gem</t>
    </r>
  </si>
  <si>
    <t>Sid. Monat:</t>
  </si>
  <si>
    <t>8.12.03 bis 28.12.2012:</t>
  </si>
  <si>
    <t>Über eine Periode der Apsidendrehung:</t>
  </si>
  <si>
    <t xml:space="preserve">Tage;  Jahre: </t>
  </si>
  <si>
    <t>Anz. der Uml.:</t>
  </si>
  <si>
    <t>Potsdam</t>
  </si>
  <si>
    <t>Apogäum am 27./28.12.2012</t>
  </si>
  <si>
    <t>u. 07.12.2003</t>
  </si>
  <si>
    <t>Apogäum:</t>
  </si>
  <si>
    <t>ρ</t>
  </si>
  <si>
    <t>Perigäum:</t>
  </si>
  <si>
    <t>Für Diagr. 2</t>
  </si>
  <si>
    <r>
      <t>D</t>
    </r>
    <r>
      <rPr>
        <i/>
        <sz val="11"/>
        <rFont val="Symbol"/>
        <family val="1"/>
        <charset val="2"/>
      </rPr>
      <t xml:space="preserve">l </t>
    </r>
    <r>
      <rPr>
        <i/>
        <sz val="10"/>
        <rFont val="Arial"/>
        <family val="2"/>
      </rPr>
      <t>/</t>
    </r>
    <r>
      <rPr>
        <sz val="10"/>
        <rFont val="Arial"/>
        <family val="2"/>
      </rPr>
      <t>1d</t>
    </r>
  </si>
  <si>
    <r>
      <t>D</t>
    </r>
    <r>
      <rPr>
        <i/>
        <sz val="11"/>
        <rFont val="Symbol"/>
        <family val="1"/>
        <charset val="2"/>
      </rPr>
      <t xml:space="preserve">b </t>
    </r>
    <r>
      <rPr>
        <sz val="10"/>
        <rFont val="Arial"/>
        <family val="2"/>
      </rPr>
      <t>/1d</t>
    </r>
  </si>
  <si>
    <r>
      <t>=&gt;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e</t>
    </r>
    <r>
      <rPr>
        <sz val="10"/>
        <rFont val="Arial"/>
        <family val="2"/>
      </rPr>
      <t xml:space="preserve"> = </t>
    </r>
  </si>
  <si>
    <t>für Diagramm 3</t>
  </si>
  <si>
    <t xml:space="preserve">Für Diagramm 1 </t>
  </si>
  <si>
    <t xml:space="preserve"> 2008 und 2009</t>
  </si>
  <si>
    <r>
      <rPr>
        <b/>
        <u/>
        <sz val="9"/>
        <rFont val="Arial"/>
        <family val="2"/>
      </rPr>
      <t>Tab. 2a</t>
    </r>
    <r>
      <rPr>
        <b/>
        <sz val="9"/>
        <rFont val="Arial"/>
        <family val="2"/>
      </rPr>
      <t xml:space="preserve">  Synodische Umlaufzeiten in den Jahren </t>
    </r>
  </si>
  <si>
    <t>Anz. der Lunationen:</t>
  </si>
  <si>
    <t>Synodischer Monat:</t>
  </si>
  <si>
    <r>
      <t>Tab. 2b</t>
    </r>
    <r>
      <rPr>
        <b/>
        <sz val="10"/>
        <rFont val="Arial"/>
        <family val="2"/>
      </rPr>
      <t xml:space="preserve">  Synodische Umlaufzeiten 2002 bis 2004</t>
    </r>
  </si>
  <si>
    <t xml:space="preserve">(Ungefähr die Periode der </t>
  </si>
  <si>
    <t>Apsidendrehung)</t>
  </si>
  <si>
    <r>
      <t xml:space="preserve">Tabelle 1 </t>
    </r>
    <r>
      <rPr>
        <b/>
        <sz val="12"/>
        <rFont val="Arial"/>
        <family val="2"/>
      </rPr>
      <t xml:space="preserve">                Die Mondbahn im September 2008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</si>
</sst>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"/>
    <numFmt numFmtId="165" formatCode="0.0"/>
    <numFmt numFmtId="166" formatCode="0.000"/>
    <numFmt numFmtId="167" formatCode="0.000000"/>
    <numFmt numFmtId="168" formatCode="0.00000"/>
    <numFmt numFmtId="169" formatCode="0.0E+00"/>
    <numFmt numFmtId="170" formatCode="dd/mm/yy"/>
    <numFmt numFmtId="171" formatCode="h:mm"/>
    <numFmt numFmtId="172" formatCode="d/m/yy\ h:mm;@"/>
    <numFmt numFmtId="173" formatCode="d/m/yyyy;@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i/>
      <sz val="11"/>
      <name val="Symbol"/>
      <family val="1"/>
      <charset val="2"/>
    </font>
    <font>
      <sz val="11"/>
      <name val="Symbol"/>
      <family val="1"/>
      <charset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i/>
      <sz val="10"/>
      <name val="Symbol"/>
      <family val="1"/>
      <charset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Symbol"/>
      <family val="1"/>
      <charset val="2"/>
    </font>
    <font>
      <i/>
      <sz val="10"/>
      <name val="Arial"/>
      <family val="2"/>
    </font>
    <font>
      <sz val="10"/>
      <name val="Calibri"/>
      <family val="2"/>
    </font>
    <font>
      <sz val="9"/>
      <name val="Symbol"/>
      <family val="1"/>
      <charset val="2"/>
    </font>
    <font>
      <i/>
      <sz val="9"/>
      <name val="Symbol"/>
      <family val="1"/>
      <charset val="2"/>
    </font>
    <font>
      <sz val="10"/>
      <color rgb="FFFF000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11"/>
      <name val="Symbol"/>
      <family val="1"/>
      <charset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name val="Calibri"/>
      <family val="2"/>
    </font>
    <font>
      <b/>
      <u/>
      <sz val="9"/>
      <name val="Arial"/>
      <family val="2"/>
    </font>
    <font>
      <b/>
      <i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2" fontId="0" fillId="0" borderId="2" xfId="0" applyNumberForma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2" xfId="1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1" applyFont="1"/>
    <xf numFmtId="0" fontId="9" fillId="0" borderId="0" xfId="0" applyFont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9" fontId="7" fillId="0" borderId="0" xfId="1" applyFont="1" applyBorder="1"/>
    <xf numFmtId="9" fontId="7" fillId="0" borderId="6" xfId="1" applyFont="1" applyBorder="1" applyAlignment="1">
      <alignment horizontal="center"/>
    </xf>
    <xf numFmtId="9" fontId="7" fillId="0" borderId="0" xfId="1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71" fontId="0" fillId="0" borderId="0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0" xfId="0" applyBorder="1"/>
    <xf numFmtId="0" fontId="0" fillId="0" borderId="19" xfId="0" applyBorder="1"/>
    <xf numFmtId="0" fontId="7" fillId="0" borderId="2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20" xfId="0" applyBorder="1"/>
    <xf numFmtId="0" fontId="0" fillId="0" borderId="8" xfId="0" applyBorder="1"/>
    <xf numFmtId="0" fontId="0" fillId="0" borderId="7" xfId="0" applyBorder="1"/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2" fillId="0" borderId="0" xfId="0" applyFont="1" applyBorder="1" applyAlignment="1"/>
    <xf numFmtId="171" fontId="0" fillId="0" borderId="0" xfId="0" applyNumberFormat="1" applyBorder="1" applyAlignment="1">
      <alignment horizontal="left"/>
    </xf>
    <xf numFmtId="20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0" xfId="0" applyFont="1"/>
    <xf numFmtId="0" fontId="10" fillId="0" borderId="0" xfId="0" applyFont="1" applyBorder="1"/>
    <xf numFmtId="0" fontId="14" fillId="0" borderId="0" xfId="0" applyFont="1" applyBorder="1"/>
    <xf numFmtId="165" fontId="0" fillId="0" borderId="0" xfId="1" applyNumberFormat="1" applyFont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165" fontId="0" fillId="0" borderId="26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2" fillId="0" borderId="8" xfId="0" applyFont="1" applyBorder="1"/>
    <xf numFmtId="0" fontId="19" fillId="0" borderId="4" xfId="0" applyFont="1" applyFill="1" applyBorder="1" applyAlignment="1">
      <alignment horizontal="center"/>
    </xf>
    <xf numFmtId="0" fontId="2" fillId="0" borderId="6" xfId="0" applyFont="1" applyBorder="1"/>
    <xf numFmtId="9" fontId="2" fillId="0" borderId="9" xfId="1" applyFon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8" xfId="0" applyNumberFormat="1" applyBorder="1" applyAlignment="1">
      <alignment horizontal="center"/>
    </xf>
    <xf numFmtId="165" fontId="0" fillId="0" borderId="38" xfId="1" applyNumberFormat="1" applyFont="1" applyBorder="1" applyAlignment="1">
      <alignment horizontal="center"/>
    </xf>
    <xf numFmtId="166" fontId="0" fillId="0" borderId="38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65" fontId="0" fillId="0" borderId="13" xfId="1" applyNumberFormat="1" applyFont="1" applyFill="1" applyBorder="1" applyAlignment="1">
      <alignment horizontal="center"/>
    </xf>
    <xf numFmtId="0" fontId="0" fillId="0" borderId="5" xfId="0" applyBorder="1"/>
    <xf numFmtId="0" fontId="0" fillId="0" borderId="17" xfId="0" applyBorder="1"/>
    <xf numFmtId="0" fontId="0" fillId="4" borderId="0" xfId="0" applyFill="1" applyAlignment="1">
      <alignment horizontal="center"/>
    </xf>
    <xf numFmtId="9" fontId="1" fillId="0" borderId="9" xfId="1" applyFont="1" applyFill="1" applyBorder="1" applyAlignment="1">
      <alignment horizontal="center"/>
    </xf>
    <xf numFmtId="9" fontId="1" fillId="0" borderId="10" xfId="1" applyFont="1" applyFill="1" applyBorder="1" applyAlignment="1">
      <alignment horizontal="center"/>
    </xf>
    <xf numFmtId="9" fontId="0" fillId="0" borderId="0" xfId="1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7" fillId="0" borderId="0" xfId="0" applyFont="1" applyAlignment="1"/>
    <xf numFmtId="0" fontId="0" fillId="0" borderId="0" xfId="0" applyAlignment="1"/>
    <xf numFmtId="2" fontId="0" fillId="0" borderId="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0" xfId="0" applyBorder="1" applyAlignment="1"/>
    <xf numFmtId="0" fontId="1" fillId="0" borderId="0" xfId="0" applyFont="1" applyBorder="1" applyAlignment="1"/>
    <xf numFmtId="0" fontId="7" fillId="0" borderId="23" xfId="0" applyFont="1" applyBorder="1"/>
    <xf numFmtId="0" fontId="1" fillId="0" borderId="19" xfId="0" applyFont="1" applyBorder="1" applyAlignment="1">
      <alignment horizontal="center"/>
    </xf>
    <xf numFmtId="172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/>
    <xf numFmtId="2" fontId="0" fillId="0" borderId="1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20" xfId="0" applyNumberForma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165" fontId="0" fillId="0" borderId="41" xfId="0" applyNumberForma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9" xfId="0" applyFont="1" applyBorder="1"/>
    <xf numFmtId="14" fontId="0" fillId="0" borderId="0" xfId="0" applyNumberFormat="1" applyBorder="1"/>
    <xf numFmtId="2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169" fontId="0" fillId="0" borderId="45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9" fontId="7" fillId="0" borderId="7" xfId="1" applyFont="1" applyFill="1" applyBorder="1" applyAlignment="1">
      <alignment horizontal="center"/>
    </xf>
    <xf numFmtId="9" fontId="7" fillId="0" borderId="19" xfId="1" applyFont="1" applyFill="1" applyBorder="1" applyAlignment="1">
      <alignment horizontal="center" vertical="center"/>
    </xf>
    <xf numFmtId="0" fontId="17" fillId="0" borderId="4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43" xfId="0" applyNumberFormat="1" applyBorder="1" applyAlignment="1">
      <alignment horizontal="center"/>
    </xf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/>
    <xf numFmtId="169" fontId="0" fillId="0" borderId="14" xfId="0" applyNumberFormat="1" applyBorder="1" applyAlignment="1">
      <alignment horizont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vertical="center"/>
    </xf>
    <xf numFmtId="0" fontId="15" fillId="4" borderId="47" xfId="0" quotePrefix="1" applyFont="1" applyFill="1" applyBorder="1" applyAlignment="1">
      <alignment horizontal="right" vertical="center"/>
    </xf>
    <xf numFmtId="0" fontId="0" fillId="4" borderId="47" xfId="0" applyFill="1" applyBorder="1" applyAlignment="1">
      <alignment horizontal="left" vertical="center"/>
    </xf>
    <xf numFmtId="0" fontId="7" fillId="4" borderId="11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4" borderId="35" xfId="0" applyFill="1" applyBorder="1" applyAlignment="1">
      <alignment horizontal="center"/>
    </xf>
    <xf numFmtId="14" fontId="2" fillId="4" borderId="36" xfId="1" applyNumberFormat="1" applyFont="1" applyFill="1" applyBorder="1" applyAlignment="1">
      <alignment horizontal="center"/>
    </xf>
    <xf numFmtId="172" fontId="0" fillId="5" borderId="6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0" xfId="0" applyFont="1" applyFill="1" applyBorder="1"/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right"/>
    </xf>
    <xf numFmtId="14" fontId="0" fillId="0" borderId="0" xfId="0" quotePrefix="1" applyNumberFormat="1" applyFill="1" applyBorder="1"/>
    <xf numFmtId="168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170" fontId="0" fillId="0" borderId="0" xfId="0" applyNumberFormat="1" applyFill="1" applyBorder="1" applyAlignment="1">
      <alignment horizontal="center"/>
    </xf>
    <xf numFmtId="171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0" fontId="7" fillId="0" borderId="0" xfId="0" applyFont="1" applyFill="1" applyBorder="1"/>
    <xf numFmtId="14" fontId="1" fillId="0" borderId="0" xfId="0" quotePrefix="1" applyNumberFormat="1" applyFont="1" applyFill="1" applyBorder="1"/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3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172" fontId="0" fillId="0" borderId="41" xfId="0" applyNumberFormat="1" applyBorder="1" applyAlignment="1">
      <alignment horizontal="center"/>
    </xf>
    <xf numFmtId="172" fontId="0" fillId="0" borderId="23" xfId="0" applyNumberFormat="1" applyBorder="1" applyAlignment="1">
      <alignment horizontal="center"/>
    </xf>
    <xf numFmtId="172" fontId="0" fillId="7" borderId="41" xfId="0" applyNumberFormat="1" applyFill="1" applyBorder="1" applyAlignment="1">
      <alignment horizontal="center"/>
    </xf>
    <xf numFmtId="0" fontId="10" fillId="4" borderId="29" xfId="0" applyFont="1" applyFill="1" applyBorder="1" applyAlignment="1"/>
    <xf numFmtId="165" fontId="0" fillId="0" borderId="40" xfId="0" applyNumberFormat="1" applyBorder="1" applyAlignment="1">
      <alignment horizontal="center" vertical="center"/>
    </xf>
    <xf numFmtId="0" fontId="10" fillId="4" borderId="47" xfId="0" applyFont="1" applyFill="1" applyBorder="1" applyAlignment="1">
      <alignment horizontal="center"/>
    </xf>
    <xf numFmtId="165" fontId="25" fillId="0" borderId="0" xfId="0" applyNumberFormat="1" applyFont="1" applyFill="1" applyBorder="1" applyAlignment="1">
      <alignment horizontal="right"/>
    </xf>
    <xf numFmtId="165" fontId="27" fillId="0" borderId="0" xfId="0" applyNumberFormat="1" applyFont="1" applyFill="1" applyBorder="1" applyAlignment="1">
      <alignment horizontal="right"/>
    </xf>
    <xf numFmtId="0" fontId="7" fillId="0" borderId="19" xfId="0" applyFont="1" applyBorder="1"/>
    <xf numFmtId="9" fontId="7" fillId="0" borderId="0" xfId="1" applyFont="1" applyFill="1" applyBorder="1" applyAlignment="1">
      <alignment horizontal="left"/>
    </xf>
    <xf numFmtId="172" fontId="0" fillId="8" borderId="6" xfId="0" applyNumberForma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0" borderId="31" xfId="0" applyBorder="1"/>
    <xf numFmtId="0" fontId="0" fillId="11" borderId="7" xfId="0" applyFill="1" applyBorder="1"/>
    <xf numFmtId="0" fontId="1" fillId="11" borderId="0" xfId="0" applyFont="1" applyFill="1" applyBorder="1"/>
    <xf numFmtId="2" fontId="0" fillId="11" borderId="7" xfId="0" applyNumberForma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166" fontId="0" fillId="10" borderId="0" xfId="0" applyNumberFormat="1" applyFill="1" applyBorder="1"/>
    <xf numFmtId="0" fontId="1" fillId="10" borderId="0" xfId="0" applyFont="1" applyFill="1" applyBorder="1" applyAlignment="1">
      <alignment horizontal="center"/>
    </xf>
    <xf numFmtId="0" fontId="1" fillId="10" borderId="20" xfId="0" applyFont="1" applyFill="1" applyBorder="1"/>
    <xf numFmtId="0" fontId="0" fillId="0" borderId="33" xfId="0" applyBorder="1"/>
    <xf numFmtId="2" fontId="0" fillId="8" borderId="6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9" fontId="10" fillId="0" borderId="0" xfId="1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9" fontId="7" fillId="0" borderId="0" xfId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/>
    </xf>
    <xf numFmtId="0" fontId="15" fillId="0" borderId="0" xfId="0" quotePrefix="1" applyNumberFormat="1" applyFont="1" applyFill="1" applyBorder="1"/>
    <xf numFmtId="0" fontId="2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9" fontId="7" fillId="0" borderId="0" xfId="1" applyFont="1" applyFill="1" applyBorder="1"/>
    <xf numFmtId="0" fontId="16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9" fontId="0" fillId="0" borderId="0" xfId="1" applyFont="1" applyFill="1" applyBorder="1"/>
    <xf numFmtId="9" fontId="0" fillId="0" borderId="0" xfId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2" fontId="0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9" fontId="0" fillId="0" borderId="0" xfId="1" applyFont="1" applyFill="1" applyBorder="1" applyAlignment="1"/>
    <xf numFmtId="0" fontId="18" fillId="0" borderId="0" xfId="0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9" fontId="0" fillId="0" borderId="0" xfId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shrinkToFit="1"/>
    </xf>
    <xf numFmtId="0" fontId="1" fillId="0" borderId="0" xfId="0" applyFont="1" applyFill="1" applyBorder="1" applyAlignment="1"/>
    <xf numFmtId="9" fontId="7" fillId="0" borderId="0" xfId="1" applyFont="1" applyFill="1" applyBorder="1" applyAlignment="1"/>
    <xf numFmtId="0" fontId="16" fillId="0" borderId="0" xfId="0" applyFont="1" applyFill="1" applyBorder="1" applyAlignment="1"/>
    <xf numFmtId="0" fontId="0" fillId="0" borderId="36" xfId="0" applyBorder="1"/>
    <xf numFmtId="0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0" fillId="0" borderId="34" xfId="0" applyNumberFormat="1" applyBorder="1" applyAlignment="1">
      <alignment horizontal="center"/>
    </xf>
    <xf numFmtId="14" fontId="0" fillId="0" borderId="35" xfId="0" applyNumberFormat="1" applyBorder="1" applyAlignment="1">
      <alignment horizontal="center"/>
    </xf>
    <xf numFmtId="14" fontId="0" fillId="0" borderId="36" xfId="0" applyNumberFormat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/>
    <xf numFmtId="17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171" fontId="0" fillId="0" borderId="0" xfId="0" applyNumberForma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2" fontId="0" fillId="0" borderId="0" xfId="0" applyNumberFormat="1" applyFill="1" applyBorder="1" applyAlignment="1">
      <alignment horizontal="right"/>
    </xf>
    <xf numFmtId="14" fontId="0" fillId="0" borderId="0" xfId="0" applyNumberFormat="1" applyFill="1" applyBorder="1" applyAlignment="1">
      <alignment horizontal="left"/>
    </xf>
    <xf numFmtId="171" fontId="1" fillId="0" borderId="0" xfId="0" applyNumberFormat="1" applyFont="1" applyFill="1" applyBorder="1" applyAlignment="1">
      <alignment horizontal="right"/>
    </xf>
    <xf numFmtId="172" fontId="1" fillId="0" borderId="0" xfId="0" applyNumberFormat="1" applyFont="1" applyFill="1" applyBorder="1" applyAlignment="1"/>
    <xf numFmtId="0" fontId="0" fillId="0" borderId="0" xfId="0" applyAlignment="1">
      <alignment horizontal="center"/>
    </xf>
    <xf numFmtId="0" fontId="15" fillId="6" borderId="18" xfId="0" applyFont="1" applyFill="1" applyBorder="1"/>
    <xf numFmtId="2" fontId="0" fillId="7" borderId="0" xfId="0" applyNumberFormat="1" applyFill="1" applyBorder="1" applyAlignment="1">
      <alignment horizontal="center"/>
    </xf>
    <xf numFmtId="165" fontId="0" fillId="7" borderId="7" xfId="0" applyNumberFormat="1" applyFill="1" applyBorder="1" applyAlignment="1">
      <alignment horizontal="center"/>
    </xf>
    <xf numFmtId="2" fontId="0" fillId="7" borderId="10" xfId="0" applyNumberFormat="1" applyFill="1" applyBorder="1" applyAlignment="1">
      <alignment horizontal="center"/>
    </xf>
    <xf numFmtId="165" fontId="0" fillId="7" borderId="19" xfId="0" applyNumberFormat="1" applyFill="1" applyBorder="1" applyAlignment="1">
      <alignment horizontal="center"/>
    </xf>
    <xf numFmtId="0" fontId="0" fillId="7" borderId="20" xfId="0" applyFill="1" applyBorder="1" applyAlignment="1">
      <alignment horizontal="right"/>
    </xf>
    <xf numFmtId="0" fontId="1" fillId="7" borderId="8" xfId="0" applyFont="1" applyFill="1" applyBorder="1" applyAlignment="1">
      <alignment horizontal="right"/>
    </xf>
    <xf numFmtId="2" fontId="0" fillId="7" borderId="6" xfId="0" applyNumberFormat="1" applyFill="1" applyBorder="1" applyAlignment="1">
      <alignment horizontal="center"/>
    </xf>
    <xf numFmtId="2" fontId="0" fillId="7" borderId="9" xfId="0" applyNumberFormat="1" applyFill="1" applyBorder="1" applyAlignment="1">
      <alignment horizontal="center"/>
    </xf>
    <xf numFmtId="0" fontId="17" fillId="7" borderId="38" xfId="0" applyFont="1" applyFill="1" applyBorder="1" applyAlignment="1">
      <alignment horizontal="center"/>
    </xf>
    <xf numFmtId="165" fontId="0" fillId="7" borderId="6" xfId="0" applyNumberFormat="1" applyFill="1" applyBorder="1" applyAlignment="1">
      <alignment horizontal="center"/>
    </xf>
    <xf numFmtId="165" fontId="0" fillId="7" borderId="9" xfId="0" applyNumberFormat="1" applyFill="1" applyBorder="1" applyAlignment="1">
      <alignment horizontal="center"/>
    </xf>
    <xf numFmtId="0" fontId="0" fillId="7" borderId="7" xfId="1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165" fontId="0" fillId="0" borderId="40" xfId="0" applyNumberFormat="1" applyFill="1" applyBorder="1" applyAlignment="1">
      <alignment horizontal="center"/>
    </xf>
    <xf numFmtId="0" fontId="0" fillId="7" borderId="16" xfId="1" applyNumberFormat="1" applyFont="1" applyFill="1" applyBorder="1" applyAlignment="1">
      <alignment horizontal="center"/>
    </xf>
    <xf numFmtId="0" fontId="0" fillId="7" borderId="25" xfId="1" applyNumberFormat="1" applyFont="1" applyFill="1" applyBorder="1" applyAlignment="1">
      <alignment horizontal="center"/>
    </xf>
    <xf numFmtId="2" fontId="0" fillId="7" borderId="19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7" borderId="19" xfId="1" applyNumberFormat="1" applyFont="1" applyFill="1" applyBorder="1" applyAlignment="1">
      <alignment horizontal="center"/>
    </xf>
    <xf numFmtId="0" fontId="0" fillId="7" borderId="28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Fill="1" applyBorder="1" applyAlignment="1"/>
    <xf numFmtId="9" fontId="1" fillId="0" borderId="0" xfId="1" applyFont="1"/>
    <xf numFmtId="0" fontId="0" fillId="7" borderId="0" xfId="0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13" borderId="18" xfId="0" applyFill="1" applyBorder="1"/>
    <xf numFmtId="0" fontId="0" fillId="13" borderId="5" xfId="0" applyFill="1" applyBorder="1" applyAlignment="1"/>
    <xf numFmtId="0" fontId="0" fillId="13" borderId="17" xfId="0" applyFill="1" applyBorder="1" applyAlignment="1"/>
    <xf numFmtId="0" fontId="0" fillId="13" borderId="8" xfId="0" applyFill="1" applyBorder="1"/>
    <xf numFmtId="0" fontId="0" fillId="13" borderId="10" xfId="0" applyFill="1" applyBorder="1"/>
    <xf numFmtId="0" fontId="0" fillId="13" borderId="10" xfId="0" applyFill="1" applyBorder="1" applyAlignment="1"/>
    <xf numFmtId="0" fontId="0" fillId="13" borderId="19" xfId="0" applyFill="1" applyBorder="1"/>
    <xf numFmtId="2" fontId="0" fillId="0" borderId="0" xfId="0" applyNumberFormat="1" applyFill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41" xfId="0" applyNumberFormat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1" fontId="0" fillId="8" borderId="41" xfId="0" applyNumberFormat="1" applyFill="1" applyBorder="1" applyAlignment="1">
      <alignment horizontal="center"/>
    </xf>
    <xf numFmtId="1" fontId="0" fillId="5" borderId="41" xfId="0" applyNumberFormat="1" applyFill="1" applyBorder="1" applyAlignment="1">
      <alignment horizontal="center"/>
    </xf>
    <xf numFmtId="0" fontId="26" fillId="0" borderId="7" xfId="0" applyFont="1" applyFill="1" applyBorder="1"/>
    <xf numFmtId="0" fontId="2" fillId="0" borderId="19" xfId="0" applyFont="1" applyBorder="1" applyAlignment="1"/>
    <xf numFmtId="0" fontId="2" fillId="0" borderId="7" xfId="0" applyFont="1" applyFill="1" applyBorder="1" applyAlignment="1"/>
    <xf numFmtId="168" fontId="0" fillId="0" borderId="7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8" fontId="0" fillId="0" borderId="19" xfId="0" applyNumberFormat="1" applyFill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72" fontId="1" fillId="0" borderId="1" xfId="0" applyNumberFormat="1" applyFont="1" applyBorder="1" applyAlignment="1">
      <alignment horizontal="center"/>
    </xf>
    <xf numFmtId="0" fontId="25" fillId="0" borderId="7" xfId="0" applyFont="1" applyFill="1" applyBorder="1"/>
    <xf numFmtId="0" fontId="27" fillId="0" borderId="7" xfId="0" applyFont="1" applyFill="1" applyBorder="1"/>
    <xf numFmtId="0" fontId="7" fillId="0" borderId="7" xfId="0" applyFont="1" applyBorder="1"/>
    <xf numFmtId="0" fontId="7" fillId="0" borderId="7" xfId="0" applyFont="1" applyFill="1" applyBorder="1"/>
    <xf numFmtId="2" fontId="0" fillId="0" borderId="25" xfId="0" applyNumberForma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168" fontId="0" fillId="0" borderId="0" xfId="0" applyNumberFormat="1" applyBorder="1" applyAlignment="1"/>
    <xf numFmtId="0" fontId="1" fillId="0" borderId="0" xfId="0" applyFont="1" applyFill="1" applyBorder="1" applyAlignment="1">
      <alignment horizontal="right"/>
    </xf>
    <xf numFmtId="173" fontId="1" fillId="0" borderId="0" xfId="0" applyNumberFormat="1" applyFont="1" applyFill="1" applyBorder="1" applyAlignment="1"/>
    <xf numFmtId="2" fontId="0" fillId="0" borderId="19" xfId="0" applyNumberFormat="1" applyFill="1" applyBorder="1" applyAlignment="1">
      <alignment horizontal="center"/>
    </xf>
    <xf numFmtId="172" fontId="2" fillId="0" borderId="0" xfId="0" applyNumberFormat="1" applyFont="1" applyFill="1" applyBorder="1"/>
    <xf numFmtId="2" fontId="0" fillId="0" borderId="0" xfId="0" applyNumberFormat="1" applyFill="1" applyBorder="1"/>
    <xf numFmtId="0" fontId="0" fillId="0" borderId="8" xfId="0" applyBorder="1" applyAlignment="1"/>
    <xf numFmtId="2" fontId="0" fillId="7" borderId="0" xfId="0" applyNumberFormat="1" applyFill="1" applyBorder="1"/>
    <xf numFmtId="0" fontId="1" fillId="7" borderId="0" xfId="0" applyFont="1" applyFill="1" applyBorder="1" applyAlignment="1">
      <alignment horizontal="center"/>
    </xf>
    <xf numFmtId="0" fontId="2" fillId="7" borderId="0" xfId="0" applyFont="1" applyFill="1" applyBorder="1"/>
    <xf numFmtId="1" fontId="0" fillId="7" borderId="7" xfId="0" applyNumberFormat="1" applyFill="1" applyBorder="1" applyAlignment="1">
      <alignment horizontal="left"/>
    </xf>
    <xf numFmtId="0" fontId="2" fillId="7" borderId="10" xfId="0" applyFont="1" applyFill="1" applyBorder="1"/>
    <xf numFmtId="166" fontId="0" fillId="7" borderId="19" xfId="0" applyNumberFormat="1" applyFill="1" applyBorder="1" applyAlignment="1">
      <alignment horizontal="left"/>
    </xf>
    <xf numFmtId="0" fontId="1" fillId="14" borderId="17" xfId="0" applyFont="1" applyFill="1" applyBorder="1" applyAlignment="1"/>
    <xf numFmtId="0" fontId="0" fillId="14" borderId="20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5" fillId="14" borderId="0" xfId="0" applyFont="1" applyFill="1" applyBorder="1" applyAlignment="1">
      <alignment horizontal="center"/>
    </xf>
    <xf numFmtId="168" fontId="0" fillId="11" borderId="0" xfId="0" applyNumberFormat="1" applyFill="1" applyBorder="1" applyAlignment="1">
      <alignment horizontal="right"/>
    </xf>
    <xf numFmtId="1" fontId="0" fillId="9" borderId="33" xfId="0" applyNumberFormat="1" applyFill="1" applyBorder="1" applyAlignment="1">
      <alignment horizontal="left"/>
    </xf>
    <xf numFmtId="14" fontId="1" fillId="0" borderId="19" xfId="0" applyNumberFormat="1" applyFont="1" applyBorder="1"/>
    <xf numFmtId="0" fontId="2" fillId="14" borderId="7" xfId="0" applyFont="1" applyFill="1" applyBorder="1" applyAlignment="1">
      <alignment horizontal="center"/>
    </xf>
    <xf numFmtId="166" fontId="0" fillId="14" borderId="44" xfId="0" applyNumberFormat="1" applyFill="1" applyBorder="1" applyAlignment="1">
      <alignment horizontal="center"/>
    </xf>
    <xf numFmtId="0" fontId="15" fillId="12" borderId="14" xfId="0" applyFont="1" applyFill="1" applyBorder="1"/>
    <xf numFmtId="0" fontId="15" fillId="12" borderId="13" xfId="0" applyFont="1" applyFill="1" applyBorder="1"/>
    <xf numFmtId="2" fontId="15" fillId="12" borderId="30" xfId="0" applyNumberFormat="1" applyFont="1" applyFill="1" applyBorder="1" applyAlignment="1">
      <alignment horizontal="right"/>
    </xf>
    <xf numFmtId="49" fontId="15" fillId="12" borderId="24" xfId="0" applyNumberFormat="1" applyFont="1" applyFill="1" applyBorder="1" applyAlignment="1">
      <alignment horizontal="left"/>
    </xf>
    <xf numFmtId="0" fontId="0" fillId="14" borderId="0" xfId="0" applyFill="1"/>
    <xf numFmtId="167" fontId="0" fillId="0" borderId="0" xfId="0" applyNumberFormat="1" applyFill="1" applyBorder="1" applyAlignment="1">
      <alignment horizontal="center"/>
    </xf>
    <xf numFmtId="167" fontId="13" fillId="0" borderId="0" xfId="0" applyNumberFormat="1" applyFont="1" applyFill="1" applyBorder="1" applyAlignment="1">
      <alignment horizontal="center"/>
    </xf>
    <xf numFmtId="171" fontId="0" fillId="0" borderId="0" xfId="0" applyNumberFormat="1" applyFill="1" applyBorder="1" applyAlignment="1"/>
    <xf numFmtId="0" fontId="0" fillId="0" borderId="0" xfId="0" applyNumberFormat="1" applyFill="1" applyBorder="1" applyAlignment="1"/>
    <xf numFmtId="0" fontId="24" fillId="7" borderId="48" xfId="0" applyFont="1" applyFill="1" applyBorder="1" applyAlignment="1">
      <alignment horizontal="center"/>
    </xf>
    <xf numFmtId="9" fontId="35" fillId="7" borderId="50" xfId="1" applyFont="1" applyFill="1" applyBorder="1" applyAlignment="1">
      <alignment horizontal="center"/>
    </xf>
    <xf numFmtId="9" fontId="35" fillId="7" borderId="48" xfId="1" applyFont="1" applyFill="1" applyBorder="1" applyAlignment="1">
      <alignment horizontal="center"/>
    </xf>
    <xf numFmtId="0" fontId="10" fillId="7" borderId="4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1" fillId="8" borderId="2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8" xfId="0" applyFont="1" applyFill="1" applyBorder="1" applyAlignment="1">
      <alignment horizontal="center"/>
    </xf>
    <xf numFmtId="0" fontId="31" fillId="8" borderId="10" xfId="0" applyFont="1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/>
    <xf numFmtId="0" fontId="0" fillId="0" borderId="5" xfId="0" applyBorder="1" applyAlignment="1"/>
    <xf numFmtId="0" fontId="0" fillId="0" borderId="17" xfId="0" applyBorder="1" applyAlignment="1"/>
    <xf numFmtId="0" fontId="3" fillId="13" borderId="5" xfId="0" applyFont="1" applyFill="1" applyBorder="1" applyAlignment="1">
      <alignment shrinkToFit="1"/>
    </xf>
    <xf numFmtId="0" fontId="0" fillId="13" borderId="5" xfId="0" applyFill="1" applyBorder="1" applyAlignment="1"/>
    <xf numFmtId="0" fontId="31" fillId="8" borderId="18" xfId="0" applyFont="1" applyFill="1" applyBorder="1" applyAlignment="1">
      <alignment horizontal="right"/>
    </xf>
    <xf numFmtId="0" fontId="31" fillId="8" borderId="5" xfId="0" applyFont="1" applyFill="1" applyBorder="1" applyAlignment="1"/>
    <xf numFmtId="0" fontId="1" fillId="0" borderId="2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32" fillId="14" borderId="18" xfId="0" applyFont="1" applyFill="1" applyBorder="1" applyAlignment="1"/>
    <xf numFmtId="0" fontId="1" fillId="14" borderId="5" xfId="0" applyFont="1" applyFill="1" applyBorder="1" applyAlignment="1"/>
    <xf numFmtId="0" fontId="1" fillId="14" borderId="17" xfId="0" applyFont="1" applyFill="1" applyBorder="1" applyAlignment="1"/>
    <xf numFmtId="0" fontId="1" fillId="11" borderId="0" xfId="0" applyFont="1" applyFill="1" applyBorder="1" applyAlignment="1"/>
    <xf numFmtId="0" fontId="1" fillId="11" borderId="5" xfId="0" applyFont="1" applyFill="1" applyBorder="1" applyAlignment="1">
      <alignment horizontal="left"/>
    </xf>
    <xf numFmtId="0" fontId="1" fillId="11" borderId="17" xfId="0" applyFont="1" applyFill="1" applyBorder="1" applyAlignment="1">
      <alignment horizontal="left"/>
    </xf>
    <xf numFmtId="0" fontId="31" fillId="14" borderId="31" xfId="0" applyFont="1" applyFill="1" applyBorder="1" applyAlignment="1">
      <alignment horizontal="left"/>
    </xf>
    <xf numFmtId="0" fontId="0" fillId="14" borderId="31" xfId="0" applyFill="1" applyBorder="1" applyAlignment="1">
      <alignment horizontal="left"/>
    </xf>
    <xf numFmtId="0" fontId="31" fillId="14" borderId="18" xfId="0" applyFont="1" applyFill="1" applyBorder="1" applyAlignment="1"/>
    <xf numFmtId="0" fontId="7" fillId="14" borderId="5" xfId="0" applyFont="1" applyFill="1" applyBorder="1" applyAlignment="1"/>
    <xf numFmtId="0" fontId="15" fillId="7" borderId="43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8" xfId="0" applyFont="1" applyBorder="1" applyAlignment="1">
      <alignment horizontal="left"/>
    </xf>
    <xf numFmtId="0" fontId="0" fillId="0" borderId="10" xfId="0" applyBorder="1" applyAlignment="1">
      <alignment horizontal="left"/>
    </xf>
    <xf numFmtId="171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171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/>
    <xf numFmtId="0" fontId="1" fillId="9" borderId="15" xfId="0" applyFont="1" applyFill="1" applyBorder="1" applyAlignment="1">
      <alignment horizontal="right"/>
    </xf>
    <xf numFmtId="0" fontId="15" fillId="0" borderId="32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0" fillId="0" borderId="31" xfId="0" applyBorder="1" applyAlignment="1"/>
    <xf numFmtId="172" fontId="2" fillId="7" borderId="20" xfId="0" applyNumberFormat="1" applyFont="1" applyFill="1" applyBorder="1"/>
    <xf numFmtId="0" fontId="31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Graph 1a       Mondbahn und Ekliptik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[1]Tabelle1!$D$6:$D$36</c:f>
              <c:numCache>
                <c:formatCode>General</c:formatCode>
                <c:ptCount val="31"/>
                <c:pt idx="0">
                  <c:v>66.239999999999995</c:v>
                </c:pt>
                <c:pt idx="1">
                  <c:v>78.69</c:v>
                </c:pt>
                <c:pt idx="2">
                  <c:v>91.5</c:v>
                </c:pt>
                <c:pt idx="3">
                  <c:v>104.75</c:v>
                </c:pt>
                <c:pt idx="4">
                  <c:v>118.48</c:v>
                </c:pt>
                <c:pt idx="5">
                  <c:v>132.69999999999999</c:v>
                </c:pt>
                <c:pt idx="6">
                  <c:v>147.36000000000001</c:v>
                </c:pt>
                <c:pt idx="7">
                  <c:v>162.35</c:v>
                </c:pt>
                <c:pt idx="8">
                  <c:v>177.51</c:v>
                </c:pt>
                <c:pt idx="9">
                  <c:v>192.67</c:v>
                </c:pt>
                <c:pt idx="10">
                  <c:v>207.65</c:v>
                </c:pt>
                <c:pt idx="11">
                  <c:v>222.34</c:v>
                </c:pt>
                <c:pt idx="12">
                  <c:v>236.64</c:v>
                </c:pt>
                <c:pt idx="13">
                  <c:v>250.54</c:v>
                </c:pt>
                <c:pt idx="14">
                  <c:v>264.05</c:v>
                </c:pt>
                <c:pt idx="15">
                  <c:v>277.2</c:v>
                </c:pt>
                <c:pt idx="16">
                  <c:v>290.06</c:v>
                </c:pt>
                <c:pt idx="17">
                  <c:v>302.66000000000003</c:v>
                </c:pt>
                <c:pt idx="18">
                  <c:v>315.07</c:v>
                </c:pt>
                <c:pt idx="19">
                  <c:v>327.32</c:v>
                </c:pt>
                <c:pt idx="20">
                  <c:v>339.44</c:v>
                </c:pt>
                <c:pt idx="21">
                  <c:v>351.45</c:v>
                </c:pt>
                <c:pt idx="22">
                  <c:v>363.39</c:v>
                </c:pt>
                <c:pt idx="23">
                  <c:v>375.26</c:v>
                </c:pt>
                <c:pt idx="24">
                  <c:v>387.09</c:v>
                </c:pt>
                <c:pt idx="25">
                  <c:v>398.93</c:v>
                </c:pt>
                <c:pt idx="26">
                  <c:v>410.81</c:v>
                </c:pt>
                <c:pt idx="27">
                  <c:v>422.79</c:v>
                </c:pt>
                <c:pt idx="28">
                  <c:v>434.95</c:v>
                </c:pt>
                <c:pt idx="29">
                  <c:v>447.37</c:v>
                </c:pt>
                <c:pt idx="30">
                  <c:v>460.11</c:v>
                </c:pt>
              </c:numCache>
            </c:numRef>
          </c:xVal>
          <c:yVal>
            <c:numRef>
              <c:f>[1]Tabelle1!$E$6:$E$36</c:f>
              <c:numCache>
                <c:formatCode>General</c:formatCode>
                <c:ptCount val="31"/>
                <c:pt idx="0">
                  <c:v>-0.67</c:v>
                </c:pt>
                <c:pt idx="1">
                  <c:v>0.43</c:v>
                </c:pt>
                <c:pt idx="2">
                  <c:v>1.53</c:v>
                </c:pt>
                <c:pt idx="3">
                  <c:v>2.59</c:v>
                </c:pt>
                <c:pt idx="4">
                  <c:v>3.54</c:v>
                </c:pt>
                <c:pt idx="5">
                  <c:v>4.3</c:v>
                </c:pt>
                <c:pt idx="6">
                  <c:v>4.8099999999999996</c:v>
                </c:pt>
                <c:pt idx="7">
                  <c:v>5</c:v>
                </c:pt>
                <c:pt idx="8">
                  <c:v>4.8499999999999996</c:v>
                </c:pt>
                <c:pt idx="9">
                  <c:v>4.3499999999999996</c:v>
                </c:pt>
                <c:pt idx="10">
                  <c:v>3.56</c:v>
                </c:pt>
                <c:pt idx="11">
                  <c:v>2.54</c:v>
                </c:pt>
                <c:pt idx="12">
                  <c:v>1.39</c:v>
                </c:pt>
                <c:pt idx="13">
                  <c:v>0.18</c:v>
                </c:pt>
                <c:pt idx="14">
                  <c:v>-1</c:v>
                </c:pt>
                <c:pt idx="15">
                  <c:v>-2.1</c:v>
                </c:pt>
                <c:pt idx="16">
                  <c:v>-3.07</c:v>
                </c:pt>
                <c:pt idx="17">
                  <c:v>-3.86</c:v>
                </c:pt>
                <c:pt idx="18">
                  <c:v>-4.46</c:v>
                </c:pt>
                <c:pt idx="19">
                  <c:v>-4.84</c:v>
                </c:pt>
                <c:pt idx="20">
                  <c:v>-5</c:v>
                </c:pt>
                <c:pt idx="21">
                  <c:v>-4.9400000000000004</c:v>
                </c:pt>
                <c:pt idx="22">
                  <c:v>-4.66</c:v>
                </c:pt>
                <c:pt idx="23">
                  <c:v>-4.17</c:v>
                </c:pt>
                <c:pt idx="24">
                  <c:v>-3.51</c:v>
                </c:pt>
                <c:pt idx="25">
                  <c:v>-2.69</c:v>
                </c:pt>
                <c:pt idx="26">
                  <c:v>-1.75</c:v>
                </c:pt>
                <c:pt idx="27">
                  <c:v>-0.72</c:v>
                </c:pt>
                <c:pt idx="28">
                  <c:v>0.36</c:v>
                </c:pt>
                <c:pt idx="29">
                  <c:v>1.44</c:v>
                </c:pt>
                <c:pt idx="30">
                  <c:v>2.48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10720"/>
        <c:axId val="23312640"/>
      </c:scatterChart>
      <c:valAx>
        <c:axId val="23310720"/>
        <c:scaling>
          <c:orientation val="minMax"/>
          <c:max val="480"/>
          <c:min val="6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5" b="1" i="0" strike="noStrike">
                    <a:solidFill>
                      <a:srgbClr val="000000"/>
                    </a:solidFill>
                    <a:latin typeface="Symbol"/>
                  </a:rPr>
                  <a:t>l</a:t>
                </a:r>
                <a:r>
                  <a:rPr lang="de-DE" sz="1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(°)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312640"/>
        <c:crosses val="autoZero"/>
        <c:crossBetween val="midCat"/>
      </c:valAx>
      <c:valAx>
        <c:axId val="2331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5" b="1" i="0" strike="noStrike">
                    <a:solidFill>
                      <a:srgbClr val="000000"/>
                    </a:solidFill>
                    <a:latin typeface="Symbol"/>
                  </a:rPr>
                  <a:t>b </a:t>
                </a:r>
                <a:r>
                  <a:rPr lang="de-DE" sz="1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(°)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3107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Graph 1b     Netzgrafik für die  Mondentfernungen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[1]Tabelle1!$F$6:$F$33</c:f>
              <c:numCache>
                <c:formatCode>General</c:formatCode>
                <c:ptCount val="28"/>
                <c:pt idx="0">
                  <c:v>395.9</c:v>
                </c:pt>
                <c:pt idx="1">
                  <c:v>390.8</c:v>
                </c:pt>
                <c:pt idx="2">
                  <c:v>385</c:v>
                </c:pt>
                <c:pt idx="3">
                  <c:v>378.9</c:v>
                </c:pt>
                <c:pt idx="4">
                  <c:v>372.8</c:v>
                </c:pt>
                <c:pt idx="5">
                  <c:v>367.3</c:v>
                </c:pt>
                <c:pt idx="6">
                  <c:v>362.9</c:v>
                </c:pt>
                <c:pt idx="7">
                  <c:v>359.9</c:v>
                </c:pt>
                <c:pt idx="8">
                  <c:v>358.8</c:v>
                </c:pt>
                <c:pt idx="9">
                  <c:v>359.4</c:v>
                </c:pt>
                <c:pt idx="10">
                  <c:v>361.7</c:v>
                </c:pt>
                <c:pt idx="11">
                  <c:v>365.4</c:v>
                </c:pt>
                <c:pt idx="12">
                  <c:v>370.1</c:v>
                </c:pt>
                <c:pt idx="13">
                  <c:v>375.2</c:v>
                </c:pt>
                <c:pt idx="14">
                  <c:v>380.5</c:v>
                </c:pt>
                <c:pt idx="15">
                  <c:v>385.6</c:v>
                </c:pt>
                <c:pt idx="16">
                  <c:v>390.2</c:v>
                </c:pt>
                <c:pt idx="17">
                  <c:v>394.4</c:v>
                </c:pt>
                <c:pt idx="18">
                  <c:v>397.9</c:v>
                </c:pt>
                <c:pt idx="19">
                  <c:v>400.8</c:v>
                </c:pt>
                <c:pt idx="20">
                  <c:v>403.1</c:v>
                </c:pt>
                <c:pt idx="21">
                  <c:v>404.8</c:v>
                </c:pt>
                <c:pt idx="22">
                  <c:v>405.9</c:v>
                </c:pt>
                <c:pt idx="23">
                  <c:v>406.3</c:v>
                </c:pt>
                <c:pt idx="24">
                  <c:v>406.1</c:v>
                </c:pt>
                <c:pt idx="25">
                  <c:v>405</c:v>
                </c:pt>
                <c:pt idx="26">
                  <c:v>403.1</c:v>
                </c:pt>
                <c:pt idx="27">
                  <c:v>400.2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88384"/>
        <c:axId val="23498752"/>
      </c:radarChart>
      <c:catAx>
        <c:axId val="234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498752"/>
        <c:crosses val="autoZero"/>
        <c:auto val="0"/>
        <c:lblAlgn val="ctr"/>
        <c:lblOffset val="100"/>
        <c:noMultiLvlLbl val="0"/>
      </c:catAx>
      <c:valAx>
        <c:axId val="2349875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2348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de-DE" sz="1100" u="sng"/>
              <a:t>Diagramm 3</a:t>
            </a:r>
            <a:r>
              <a:rPr lang="de-DE" sz="1100"/>
              <a:t>    Graphische Ermittlung einer tropischen Umlaufzeit</a:t>
            </a:r>
            <a:r>
              <a:rPr lang="de-DE" sz="1100" baseline="0"/>
              <a:t> </a:t>
            </a:r>
            <a:r>
              <a:rPr lang="de-DE" sz="1100"/>
              <a:t> </a:t>
            </a:r>
          </a:p>
          <a:p>
            <a:pPr>
              <a:defRPr sz="1100"/>
            </a:pPr>
            <a:r>
              <a:rPr lang="de-DE" sz="1100"/>
              <a:t>(Sept. 2008)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17177092446777489"/>
          <c:w val="0.87068525809274711"/>
          <c:h val="0.69637306206289462"/>
        </c:manualLayout>
      </c:layout>
      <c:scatterChart>
        <c:scatterStyle val="lineMarker"/>
        <c:varyColors val="0"/>
        <c:ser>
          <c:idx val="0"/>
          <c:order val="0"/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'Bahn, trop. Monat'!$B$7:$B$21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'Bahn, trop. Monat'!$C$7:$C$21</c:f>
              <c:numCache>
                <c:formatCode>0.00</c:formatCode>
                <c:ptCount val="15"/>
                <c:pt idx="0">
                  <c:v>173.53</c:v>
                </c:pt>
                <c:pt idx="1">
                  <c:v>186.67</c:v>
                </c:pt>
                <c:pt idx="2">
                  <c:v>199.51</c:v>
                </c:pt>
                <c:pt idx="3">
                  <c:v>212.05</c:v>
                </c:pt>
                <c:pt idx="4">
                  <c:v>224.34</c:v>
                </c:pt>
                <c:pt idx="5">
                  <c:v>236.42</c:v>
                </c:pt>
                <c:pt idx="6">
                  <c:v>248.35</c:v>
                </c:pt>
                <c:pt idx="7">
                  <c:v>260.22000000000003</c:v>
                </c:pt>
                <c:pt idx="8">
                  <c:v>272.11</c:v>
                </c:pt>
                <c:pt idx="9">
                  <c:v>284.08999999999997</c:v>
                </c:pt>
                <c:pt idx="10">
                  <c:v>296.24</c:v>
                </c:pt>
                <c:pt idx="11">
                  <c:v>308.63</c:v>
                </c:pt>
                <c:pt idx="12">
                  <c:v>321.32</c:v>
                </c:pt>
                <c:pt idx="13">
                  <c:v>334.33</c:v>
                </c:pt>
                <c:pt idx="14">
                  <c:v>347.68</c:v>
                </c:pt>
              </c:numCache>
            </c:numRef>
          </c:yVal>
          <c:smooth val="0"/>
        </c:ser>
        <c:ser>
          <c:idx val="1"/>
          <c:order val="1"/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'Bahn, trop. Monat'!$B$22:$B$37</c:f>
              <c:numCache>
                <c:formatCode>General</c:formatCode>
                <c:ptCount val="16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</c:numCache>
            </c:numRef>
          </c:xVal>
          <c:yVal>
            <c:numRef>
              <c:f>'Bahn, trop. Monat'!$C$22:$C$37</c:f>
              <c:numCache>
                <c:formatCode>0.00</c:formatCode>
                <c:ptCount val="16"/>
                <c:pt idx="0">
                  <c:v>1.35</c:v>
                </c:pt>
                <c:pt idx="1">
                  <c:v>15.29</c:v>
                </c:pt>
                <c:pt idx="2">
                  <c:v>29.44</c:v>
                </c:pt>
                <c:pt idx="3">
                  <c:v>43.71</c:v>
                </c:pt>
                <c:pt idx="4">
                  <c:v>58.04</c:v>
                </c:pt>
                <c:pt idx="5">
                  <c:v>72.34</c:v>
                </c:pt>
                <c:pt idx="6">
                  <c:v>86.57</c:v>
                </c:pt>
                <c:pt idx="7">
                  <c:v>100.68</c:v>
                </c:pt>
                <c:pt idx="8">
                  <c:v>114.66</c:v>
                </c:pt>
                <c:pt idx="9">
                  <c:v>128.5</c:v>
                </c:pt>
                <c:pt idx="10">
                  <c:v>142.16999999999999</c:v>
                </c:pt>
                <c:pt idx="11">
                  <c:v>155.68</c:v>
                </c:pt>
                <c:pt idx="12">
                  <c:v>169</c:v>
                </c:pt>
                <c:pt idx="13">
                  <c:v>182.12</c:v>
                </c:pt>
                <c:pt idx="14">
                  <c:v>195.02</c:v>
                </c:pt>
                <c:pt idx="15">
                  <c:v>207.68</c:v>
                </c:pt>
              </c:numCache>
            </c:numRef>
          </c:yVal>
          <c:smooth val="0"/>
        </c:ser>
        <c:ser>
          <c:idx val="2"/>
          <c:order val="2"/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'Bahn, trop. Monat'!$I$44:$I$45</c:f>
              <c:numCache>
                <c:formatCode>General</c:formatCode>
                <c:ptCount val="2"/>
                <c:pt idx="0">
                  <c:v>15</c:v>
                </c:pt>
                <c:pt idx="1">
                  <c:v>16</c:v>
                </c:pt>
              </c:numCache>
            </c:numRef>
          </c:xVal>
          <c:yVal>
            <c:numRef>
              <c:f>'Bahn, trop. Monat'!$J$44:$J$45</c:f>
              <c:numCache>
                <c:formatCode>0.00</c:formatCode>
                <c:ptCount val="2"/>
                <c:pt idx="0" formatCode="General">
                  <c:v>347.68</c:v>
                </c:pt>
                <c:pt idx="1">
                  <c:v>361.35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22016"/>
        <c:axId val="23623936"/>
      </c:scatterChart>
      <c:valAx>
        <c:axId val="23622016"/>
        <c:scaling>
          <c:orientation val="minMax"/>
          <c:max val="31"/>
          <c:min val="1"/>
        </c:scaling>
        <c:delete val="0"/>
        <c:axPos val="b"/>
        <c:majorGridlines>
          <c:spPr>
            <a:ln>
              <a:prstDash val="sysDash"/>
            </a:ln>
          </c:spPr>
        </c:majorGridlines>
        <c:minorGridlines>
          <c:spPr>
            <a:ln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Tages-Nr.</a:t>
                </a:r>
              </a:p>
            </c:rich>
          </c:tx>
          <c:layout>
            <c:manualLayout>
              <c:xMode val="edge"/>
              <c:yMode val="edge"/>
              <c:x val="0.82584963401113975"/>
              <c:y val="0.78973965210870378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out"/>
        <c:tickLblPos val="nextTo"/>
        <c:spPr>
          <a:ln w="19050">
            <a:solidFill>
              <a:schemeClr val="tx1"/>
            </a:solidFill>
            <a:tailEnd type="arrow"/>
          </a:ln>
        </c:spPr>
        <c:txPr>
          <a:bodyPr/>
          <a:lstStyle/>
          <a:p>
            <a:pPr>
              <a:defRPr sz="900"/>
            </a:pPr>
            <a:endParaRPr lang="de-DE"/>
          </a:p>
        </c:txPr>
        <c:crossAx val="23623936"/>
        <c:crosses val="autoZero"/>
        <c:crossBetween val="midCat"/>
        <c:majorUnit val="2"/>
        <c:minorUnit val="1"/>
      </c:valAx>
      <c:valAx>
        <c:axId val="23623936"/>
        <c:scaling>
          <c:orientation val="minMax"/>
          <c:max val="37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el-GR" sz="1100">
                    <a:latin typeface="Calibri"/>
                  </a:rPr>
                  <a:t>λ</a:t>
                </a:r>
                <a:r>
                  <a:rPr lang="de-DE" sz="1100">
                    <a:latin typeface="Calibri"/>
                  </a:rPr>
                  <a:t>  (°)</a:t>
                </a:r>
                <a:endParaRPr lang="de-DE" sz="1100"/>
              </a:p>
            </c:rich>
          </c:tx>
          <c:layout>
            <c:manualLayout>
              <c:xMode val="edge"/>
              <c:yMode val="edge"/>
              <c:x val="0.10407145865755969"/>
              <c:y val="0.16068642461358734"/>
            </c:manualLayout>
          </c:layout>
          <c:overlay val="0"/>
          <c:spPr>
            <a:solidFill>
              <a:schemeClr val="bg1"/>
            </a:solidFill>
          </c:spPr>
        </c:title>
        <c:numFmt formatCode="0" sourceLinked="0"/>
        <c:majorTickMark val="out"/>
        <c:minorTickMark val="out"/>
        <c:tickLblPos val="nextTo"/>
        <c:spPr>
          <a:ln w="19050">
            <a:solidFill>
              <a:schemeClr val="tx1"/>
            </a:solidFill>
            <a:tailEnd type="none"/>
          </a:ln>
        </c:spPr>
        <c:crossAx val="23622016"/>
        <c:crosses val="autoZero"/>
        <c:crossBetween val="midCat"/>
        <c:majorUnit val="60"/>
        <c:minorUnit val="1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de-DE" sz="1200" u="sng"/>
              <a:t>Diagramm 2</a:t>
            </a:r>
            <a:r>
              <a:rPr lang="de-DE" sz="1200"/>
              <a:t>  Die Mondbahn im September 2008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3195074384438566E-2"/>
          <c:y val="7.7874419543710882E-2"/>
          <c:w val="0.90446463999280613"/>
          <c:h val="0.68018929941449624"/>
        </c:manualLayout>
      </c:layout>
      <c:scatterChart>
        <c:scatterStyle val="smoothMarker"/>
        <c:varyColors val="0"/>
        <c:ser>
          <c:idx val="0"/>
          <c:order val="0"/>
          <c:tx>
            <c:v>Mondbahn</c:v>
          </c:tx>
          <c:spPr>
            <a:ln w="22225"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'Bahn, trop. Monat'!$K$7:$K$34</c:f>
              <c:numCache>
                <c:formatCode>0.0</c:formatCode>
                <c:ptCount val="28"/>
                <c:pt idx="0">
                  <c:v>-380.46130704407221</c:v>
                </c:pt>
                <c:pt idx="1">
                  <c:v>-384.87724579402817</c:v>
                </c:pt>
                <c:pt idx="2">
                  <c:v>-369.58687916911555</c:v>
                </c:pt>
                <c:pt idx="3">
                  <c:v>-335.98282540891176</c:v>
                </c:pt>
                <c:pt idx="4">
                  <c:v>-286.01046889556773</c:v>
                </c:pt>
                <c:pt idx="5">
                  <c:v>-222.62306039733537</c:v>
                </c:pt>
                <c:pt idx="6">
                  <c:v>-149.05006136567118</c:v>
                </c:pt>
                <c:pt idx="7">
                  <c:v>-68.642655240759566</c:v>
                </c:pt>
                <c:pt idx="8">
                  <c:v>14.837703913708632</c:v>
                </c:pt>
                <c:pt idx="9">
                  <c:v>97.548705404039964</c:v>
                </c:pt>
                <c:pt idx="10">
                  <c:v>175.65910306001433</c:v>
                </c:pt>
                <c:pt idx="11">
                  <c:v>245.53275134720306</c:v>
                </c:pt>
                <c:pt idx="12">
                  <c:v>303.43811495844926</c:v>
                </c:pt>
                <c:pt idx="13">
                  <c:v>346.1908514814582</c:v>
                </c:pt>
                <c:pt idx="14">
                  <c:v>371.0536440152913</c:v>
                </c:pt>
                <c:pt idx="15">
                  <c:v>375.79566151894636</c:v>
                </c:pt>
                <c:pt idx="16">
                  <c:v>359.70062960074364</c:v>
                </c:pt>
                <c:pt idx="17">
                  <c:v>322.83183646380411</c:v>
                </c:pt>
                <c:pt idx="18">
                  <c:v>267.01951674121483</c:v>
                </c:pt>
                <c:pt idx="19">
                  <c:v>195.26876198240987</c:v>
                </c:pt>
                <c:pt idx="20">
                  <c:v>111.97309325873854</c:v>
                </c:pt>
                <c:pt idx="21">
                  <c:v>22.136745752433374</c:v>
                </c:pt>
                <c:pt idx="22">
                  <c:v>-68.810655468332143</c:v>
                </c:pt>
                <c:pt idx="23">
                  <c:v>-155.6278021958384</c:v>
                </c:pt>
                <c:pt idx="24">
                  <c:v>-233.56749166643479</c:v>
                </c:pt>
                <c:pt idx="25">
                  <c:v>-298.32029677461327</c:v>
                </c:pt>
                <c:pt idx="26">
                  <c:v>-346.91652039397769</c:v>
                </c:pt>
                <c:pt idx="27">
                  <c:v>-376.944838443903</c:v>
                </c:pt>
              </c:numCache>
            </c:numRef>
          </c:xVal>
          <c:yVal>
            <c:numRef>
              <c:f>'Bahn, trop. Monat'!$L$7:$L$34</c:f>
              <c:numCache>
                <c:formatCode>0.0</c:formatCode>
                <c:ptCount val="28"/>
                <c:pt idx="0">
                  <c:v>43.146307400705574</c:v>
                </c:pt>
                <c:pt idx="1">
                  <c:v>-45.008395550199587</c:v>
                </c:pt>
                <c:pt idx="2">
                  <c:v>-130.95017657885606</c:v>
                </c:pt>
                <c:pt idx="3">
                  <c:v>-210.35327672809072</c:v>
                </c:pt>
                <c:pt idx="4">
                  <c:v>-279.49601371421647</c:v>
                </c:pt>
                <c:pt idx="5">
                  <c:v>-335.32852992151498</c:v>
                </c:pt>
                <c:pt idx="6">
                  <c:v>-375.4997725790119</c:v>
                </c:pt>
                <c:pt idx="7">
                  <c:v>-398.22731684491242</c:v>
                </c:pt>
                <c:pt idx="8">
                  <c:v>-402.72675915882365</c:v>
                </c:pt>
                <c:pt idx="9">
                  <c:v>-388.64474790481319</c:v>
                </c:pt>
                <c:pt idx="10">
                  <c:v>-356.35820393552223</c:v>
                </c:pt>
                <c:pt idx="11">
                  <c:v>-307.2434832764929</c:v>
                </c:pt>
                <c:pt idx="12">
                  <c:v>-242.92591543609115</c:v>
                </c:pt>
                <c:pt idx="13">
                  <c:v>-166.38721210039844</c:v>
                </c:pt>
                <c:pt idx="14">
                  <c:v>-81.038467797543404</c:v>
                </c:pt>
                <c:pt idx="15">
                  <c:v>8.8561156009540554</c:v>
                </c:pt>
                <c:pt idx="16">
                  <c:v>98.335482227061021</c:v>
                </c:pt>
                <c:pt idx="17">
                  <c:v>182.20344498775981</c:v>
                </c:pt>
                <c:pt idx="18">
                  <c:v>255.25857023670741</c:v>
                </c:pt>
                <c:pt idx="19">
                  <c:v>312.98134224559931</c:v>
                </c:pt>
                <c:pt idx="20">
                  <c:v>351.70561039890998</c:v>
                </c:pt>
                <c:pt idx="21">
                  <c:v>369.33719618729458</c:v>
                </c:pt>
                <c:pt idx="22">
                  <c:v>364.86817303516415</c:v>
                </c:pt>
                <c:pt idx="23">
                  <c:v>338.98228151880295</c:v>
                </c:pt>
                <c:pt idx="24">
                  <c:v>293.63458045102573</c:v>
                </c:pt>
                <c:pt idx="25">
                  <c:v>231.65122605396814</c:v>
                </c:pt>
                <c:pt idx="26">
                  <c:v>156.78462258057974</c:v>
                </c:pt>
                <c:pt idx="27">
                  <c:v>73.270654224593272</c:v>
                </c:pt>
              </c:numCache>
            </c:numRef>
          </c:yVal>
          <c:smooth val="1"/>
        </c:ser>
        <c:ser>
          <c:idx val="3"/>
          <c:order val="2"/>
          <c:tx>
            <c:v>Kreise mit Mittelpunkt Erde. Radien sind die maximale und die minimale Entfernung Erde-Mond 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'Bahn, trop. Monat'!$O$7:$O$47</c:f>
              <c:numCache>
                <c:formatCode>0.0</c:formatCode>
                <c:ptCount val="41"/>
                <c:pt idx="0">
                  <c:v>405</c:v>
                </c:pt>
                <c:pt idx="1">
                  <c:v>400.01377794103081</c:v>
                </c:pt>
                <c:pt idx="2">
                  <c:v>385.1778890995372</c:v>
                </c:pt>
                <c:pt idx="3">
                  <c:v>360.85764229628899</c:v>
                </c:pt>
                <c:pt idx="4">
                  <c:v>327.65188272185372</c:v>
                </c:pt>
                <c:pt idx="5">
                  <c:v>286.37824638055179</c:v>
                </c:pt>
                <c:pt idx="6">
                  <c:v>238.05302717845163</c:v>
                </c:pt>
                <c:pt idx="7">
                  <c:v>183.86615239451646</c:v>
                </c:pt>
                <c:pt idx="8">
                  <c:v>125.15188272185372</c:v>
                </c:pt>
                <c:pt idx="9">
                  <c:v>63.355958341293523</c:v>
                </c:pt>
                <c:pt idx="10">
                  <c:v>2.4809256211899555E-14</c:v>
                </c:pt>
                <c:pt idx="11">
                  <c:v>-63.35595834129348</c:v>
                </c:pt>
                <c:pt idx="12">
                  <c:v>-125.15188272185367</c:v>
                </c:pt>
                <c:pt idx="13">
                  <c:v>-183.8661523945164</c:v>
                </c:pt>
                <c:pt idx="14">
                  <c:v>-238.05302717845157</c:v>
                </c:pt>
                <c:pt idx="15">
                  <c:v>-286.37824638055173</c:v>
                </c:pt>
                <c:pt idx="16">
                  <c:v>-327.65188272185367</c:v>
                </c:pt>
                <c:pt idx="17">
                  <c:v>-360.85764229628893</c:v>
                </c:pt>
                <c:pt idx="18">
                  <c:v>-385.1778890995372</c:v>
                </c:pt>
                <c:pt idx="19">
                  <c:v>-400.01377794103075</c:v>
                </c:pt>
                <c:pt idx="20">
                  <c:v>-405</c:v>
                </c:pt>
                <c:pt idx="21">
                  <c:v>-400.01377794103081</c:v>
                </c:pt>
                <c:pt idx="22">
                  <c:v>-385.1778890995372</c:v>
                </c:pt>
                <c:pt idx="23">
                  <c:v>-360.85764229628899</c:v>
                </c:pt>
                <c:pt idx="24">
                  <c:v>-327.65188272185378</c:v>
                </c:pt>
                <c:pt idx="25">
                  <c:v>-286.37824638055179</c:v>
                </c:pt>
                <c:pt idx="26">
                  <c:v>-238.05302717845166</c:v>
                </c:pt>
                <c:pt idx="27">
                  <c:v>-183.86615239451649</c:v>
                </c:pt>
                <c:pt idx="28">
                  <c:v>-125.15188272185377</c:v>
                </c:pt>
                <c:pt idx="29">
                  <c:v>-63.355958341293572</c:v>
                </c:pt>
                <c:pt idx="30">
                  <c:v>-7.4427768635698666E-14</c:v>
                </c:pt>
                <c:pt idx="31">
                  <c:v>63.355958341293423</c:v>
                </c:pt>
                <c:pt idx="32">
                  <c:v>125.15188272185362</c:v>
                </c:pt>
                <c:pt idx="33">
                  <c:v>183.86615239451638</c:v>
                </c:pt>
                <c:pt idx="34">
                  <c:v>238.05302717845154</c:v>
                </c:pt>
                <c:pt idx="35">
                  <c:v>286.37824638055167</c:v>
                </c:pt>
                <c:pt idx="36">
                  <c:v>327.65188272185367</c:v>
                </c:pt>
                <c:pt idx="37">
                  <c:v>360.85764229628893</c:v>
                </c:pt>
                <c:pt idx="38">
                  <c:v>385.1778890995372</c:v>
                </c:pt>
                <c:pt idx="39">
                  <c:v>400.01377794103075</c:v>
                </c:pt>
                <c:pt idx="40">
                  <c:v>405</c:v>
                </c:pt>
              </c:numCache>
            </c:numRef>
          </c:xVal>
          <c:yVal>
            <c:numRef>
              <c:f>'Bahn, trop. Monat'!$P$7:$P$47</c:f>
              <c:numCache>
                <c:formatCode>0.0</c:formatCode>
                <c:ptCount val="41"/>
                <c:pt idx="0">
                  <c:v>0</c:v>
                </c:pt>
                <c:pt idx="1">
                  <c:v>63.355958341293501</c:v>
                </c:pt>
                <c:pt idx="2">
                  <c:v>125.1518827218537</c:v>
                </c:pt>
                <c:pt idx="3">
                  <c:v>183.86615239451643</c:v>
                </c:pt>
                <c:pt idx="4">
                  <c:v>238.05302717845163</c:v>
                </c:pt>
                <c:pt idx="5">
                  <c:v>286.37824638055173</c:v>
                </c:pt>
                <c:pt idx="6">
                  <c:v>327.65188272185372</c:v>
                </c:pt>
                <c:pt idx="7">
                  <c:v>360.85764229628893</c:v>
                </c:pt>
                <c:pt idx="8">
                  <c:v>385.1778890995372</c:v>
                </c:pt>
                <c:pt idx="9">
                  <c:v>400.01377794103081</c:v>
                </c:pt>
                <c:pt idx="10">
                  <c:v>405</c:v>
                </c:pt>
                <c:pt idx="11">
                  <c:v>400.01377794103081</c:v>
                </c:pt>
                <c:pt idx="12">
                  <c:v>385.1778890995372</c:v>
                </c:pt>
                <c:pt idx="13">
                  <c:v>360.85764229628899</c:v>
                </c:pt>
                <c:pt idx="14">
                  <c:v>327.65188272185372</c:v>
                </c:pt>
                <c:pt idx="15">
                  <c:v>286.37824638055179</c:v>
                </c:pt>
                <c:pt idx="16">
                  <c:v>238.05302717845166</c:v>
                </c:pt>
                <c:pt idx="17">
                  <c:v>183.86615239451649</c:v>
                </c:pt>
                <c:pt idx="18">
                  <c:v>125.15188272185374</c:v>
                </c:pt>
                <c:pt idx="19">
                  <c:v>63.355958341293544</c:v>
                </c:pt>
                <c:pt idx="20">
                  <c:v>4.961851242379911E-14</c:v>
                </c:pt>
                <c:pt idx="21">
                  <c:v>-63.355958341293444</c:v>
                </c:pt>
                <c:pt idx="22">
                  <c:v>-125.15188272185365</c:v>
                </c:pt>
                <c:pt idx="23">
                  <c:v>-183.8661523945164</c:v>
                </c:pt>
                <c:pt idx="24">
                  <c:v>-238.05302717845157</c:v>
                </c:pt>
                <c:pt idx="25">
                  <c:v>-286.37824638055173</c:v>
                </c:pt>
                <c:pt idx="26">
                  <c:v>-327.65188272185367</c:v>
                </c:pt>
                <c:pt idx="27">
                  <c:v>-360.85764229628893</c:v>
                </c:pt>
                <c:pt idx="28">
                  <c:v>-385.1778890995372</c:v>
                </c:pt>
                <c:pt idx="29">
                  <c:v>-400.01377794103075</c:v>
                </c:pt>
                <c:pt idx="30">
                  <c:v>-405</c:v>
                </c:pt>
                <c:pt idx="31">
                  <c:v>-400.01377794103081</c:v>
                </c:pt>
                <c:pt idx="32">
                  <c:v>-385.1778890995372</c:v>
                </c:pt>
                <c:pt idx="33">
                  <c:v>-360.85764229628899</c:v>
                </c:pt>
                <c:pt idx="34">
                  <c:v>-327.65188272185378</c:v>
                </c:pt>
                <c:pt idx="35">
                  <c:v>-286.37824638055179</c:v>
                </c:pt>
                <c:pt idx="36">
                  <c:v>-238.05302717845171</c:v>
                </c:pt>
                <c:pt idx="37">
                  <c:v>-183.86615239451652</c:v>
                </c:pt>
                <c:pt idx="38">
                  <c:v>-125.15188272185378</c:v>
                </c:pt>
                <c:pt idx="39">
                  <c:v>-63.355958341293601</c:v>
                </c:pt>
                <c:pt idx="40">
                  <c:v>-9.9237024847598221E-14</c:v>
                </c:pt>
              </c:numCache>
            </c:numRef>
          </c:yVal>
          <c:smooth val="1"/>
        </c:ser>
        <c:ser>
          <c:idx val="4"/>
          <c:order val="3"/>
          <c:tx>
            <c:v>Kreis 2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'Bahn, trop. Monat'!$Q$7:$Q$47</c:f>
              <c:numCache>
                <c:formatCode>0.0</c:formatCode>
                <c:ptCount val="41"/>
                <c:pt idx="0">
                  <c:v>365</c:v>
                </c:pt>
                <c:pt idx="1">
                  <c:v>360.50624431722531</c:v>
                </c:pt>
                <c:pt idx="2">
                  <c:v>347.13562844773105</c:v>
                </c:pt>
                <c:pt idx="3">
                  <c:v>325.2173813287543</c:v>
                </c:pt>
                <c:pt idx="4">
                  <c:v>295.29120294685583</c:v>
                </c:pt>
                <c:pt idx="5">
                  <c:v>258.09397513308988</c:v>
                </c:pt>
                <c:pt idx="6">
                  <c:v>214.54161708675269</c:v>
                </c:pt>
                <c:pt idx="7">
                  <c:v>165.70653240493459</c:v>
                </c:pt>
                <c:pt idx="8">
                  <c:v>112.79120294685582</c:v>
                </c:pt>
                <c:pt idx="9">
                  <c:v>57.09857973968429</c:v>
                </c:pt>
                <c:pt idx="10">
                  <c:v>2.2358959302082315E-14</c:v>
                </c:pt>
                <c:pt idx="11">
                  <c:v>-57.098579739684247</c:v>
                </c:pt>
                <c:pt idx="12">
                  <c:v>-112.79120294685578</c:v>
                </c:pt>
                <c:pt idx="13">
                  <c:v>-165.70653240493453</c:v>
                </c:pt>
                <c:pt idx="14">
                  <c:v>-214.54161708675267</c:v>
                </c:pt>
                <c:pt idx="15">
                  <c:v>-258.09397513308983</c:v>
                </c:pt>
                <c:pt idx="16">
                  <c:v>-295.29120294685578</c:v>
                </c:pt>
                <c:pt idx="17">
                  <c:v>-325.21738132875424</c:v>
                </c:pt>
                <c:pt idx="18">
                  <c:v>-347.13562844773105</c:v>
                </c:pt>
                <c:pt idx="19">
                  <c:v>-360.50624431722525</c:v>
                </c:pt>
                <c:pt idx="20">
                  <c:v>-365</c:v>
                </c:pt>
                <c:pt idx="21">
                  <c:v>-360.50624431722531</c:v>
                </c:pt>
                <c:pt idx="22">
                  <c:v>-347.13562844773105</c:v>
                </c:pt>
                <c:pt idx="23">
                  <c:v>-325.2173813287543</c:v>
                </c:pt>
                <c:pt idx="24">
                  <c:v>-295.29120294685583</c:v>
                </c:pt>
                <c:pt idx="25">
                  <c:v>-258.09397513308988</c:v>
                </c:pt>
                <c:pt idx="26">
                  <c:v>-214.54161708675272</c:v>
                </c:pt>
                <c:pt idx="27">
                  <c:v>-165.70653240493462</c:v>
                </c:pt>
                <c:pt idx="28">
                  <c:v>-112.79120294685586</c:v>
                </c:pt>
                <c:pt idx="29">
                  <c:v>-57.098579739684325</c:v>
                </c:pt>
                <c:pt idx="30">
                  <c:v>-6.7076877906246946E-14</c:v>
                </c:pt>
                <c:pt idx="31">
                  <c:v>57.098579739684197</c:v>
                </c:pt>
                <c:pt idx="32">
                  <c:v>112.79120294685573</c:v>
                </c:pt>
                <c:pt idx="33">
                  <c:v>165.70653240493453</c:v>
                </c:pt>
                <c:pt idx="34">
                  <c:v>214.54161708675261</c:v>
                </c:pt>
                <c:pt idx="35">
                  <c:v>258.09397513308977</c:v>
                </c:pt>
                <c:pt idx="36">
                  <c:v>295.29120294685578</c:v>
                </c:pt>
                <c:pt idx="37">
                  <c:v>325.21738132875424</c:v>
                </c:pt>
                <c:pt idx="38">
                  <c:v>347.13562844773105</c:v>
                </c:pt>
                <c:pt idx="39">
                  <c:v>360.50624431722525</c:v>
                </c:pt>
                <c:pt idx="40">
                  <c:v>365</c:v>
                </c:pt>
              </c:numCache>
            </c:numRef>
          </c:xVal>
          <c:yVal>
            <c:numRef>
              <c:f>'Bahn, trop. Monat'!$R$7:$R$47</c:f>
              <c:numCache>
                <c:formatCode>0.0</c:formatCode>
                <c:ptCount val="41"/>
                <c:pt idx="0">
                  <c:v>0</c:v>
                </c:pt>
                <c:pt idx="1">
                  <c:v>57.098579739684268</c:v>
                </c:pt>
                <c:pt idx="2">
                  <c:v>112.7912029468558</c:v>
                </c:pt>
                <c:pt idx="3">
                  <c:v>165.70653240493456</c:v>
                </c:pt>
                <c:pt idx="4">
                  <c:v>214.54161708675269</c:v>
                </c:pt>
                <c:pt idx="5">
                  <c:v>258.09397513308983</c:v>
                </c:pt>
                <c:pt idx="6">
                  <c:v>295.29120294685583</c:v>
                </c:pt>
                <c:pt idx="7">
                  <c:v>325.21738132875424</c:v>
                </c:pt>
                <c:pt idx="8">
                  <c:v>347.13562844773105</c:v>
                </c:pt>
                <c:pt idx="9">
                  <c:v>360.50624431722531</c:v>
                </c:pt>
                <c:pt idx="10">
                  <c:v>365</c:v>
                </c:pt>
                <c:pt idx="11">
                  <c:v>360.50624431722531</c:v>
                </c:pt>
                <c:pt idx="12">
                  <c:v>347.13562844773105</c:v>
                </c:pt>
                <c:pt idx="13">
                  <c:v>325.2173813287543</c:v>
                </c:pt>
                <c:pt idx="14">
                  <c:v>295.29120294685583</c:v>
                </c:pt>
                <c:pt idx="15">
                  <c:v>258.09397513308988</c:v>
                </c:pt>
                <c:pt idx="16">
                  <c:v>214.54161708675272</c:v>
                </c:pt>
                <c:pt idx="17">
                  <c:v>165.70653240493459</c:v>
                </c:pt>
                <c:pt idx="18">
                  <c:v>112.79120294685583</c:v>
                </c:pt>
                <c:pt idx="19">
                  <c:v>57.098579739684311</c:v>
                </c:pt>
                <c:pt idx="20">
                  <c:v>4.471791860416463E-14</c:v>
                </c:pt>
                <c:pt idx="21">
                  <c:v>-57.098579739684219</c:v>
                </c:pt>
                <c:pt idx="22">
                  <c:v>-112.79120294685576</c:v>
                </c:pt>
                <c:pt idx="23">
                  <c:v>-165.70653240493453</c:v>
                </c:pt>
                <c:pt idx="24">
                  <c:v>-214.54161708675267</c:v>
                </c:pt>
                <c:pt idx="25">
                  <c:v>-258.09397513308983</c:v>
                </c:pt>
                <c:pt idx="26">
                  <c:v>-295.29120294685578</c:v>
                </c:pt>
                <c:pt idx="27">
                  <c:v>-325.21738132875424</c:v>
                </c:pt>
                <c:pt idx="28">
                  <c:v>-347.13562844773105</c:v>
                </c:pt>
                <c:pt idx="29">
                  <c:v>-360.50624431722525</c:v>
                </c:pt>
                <c:pt idx="30">
                  <c:v>-365</c:v>
                </c:pt>
                <c:pt idx="31">
                  <c:v>-360.50624431722531</c:v>
                </c:pt>
                <c:pt idx="32">
                  <c:v>-347.13562844773105</c:v>
                </c:pt>
                <c:pt idx="33">
                  <c:v>-325.2173813287543</c:v>
                </c:pt>
                <c:pt idx="34">
                  <c:v>-295.29120294685583</c:v>
                </c:pt>
                <c:pt idx="35">
                  <c:v>-258.09397513308988</c:v>
                </c:pt>
                <c:pt idx="36">
                  <c:v>-214.54161708675278</c:v>
                </c:pt>
                <c:pt idx="37">
                  <c:v>-165.70653240493465</c:v>
                </c:pt>
                <c:pt idx="38">
                  <c:v>-112.79120294685588</c:v>
                </c:pt>
                <c:pt idx="39">
                  <c:v>-57.098579739684361</c:v>
                </c:pt>
                <c:pt idx="40">
                  <c:v>-8.9435837208329261E-14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08256"/>
        <c:axId val="23900928"/>
      </c:scatterChart>
      <c:scatterChart>
        <c:scatterStyle val="lineMarker"/>
        <c:varyColors val="0"/>
        <c:ser>
          <c:idx val="2"/>
          <c:order val="1"/>
          <c:tx>
            <c:v>Erde</c:v>
          </c:tx>
          <c:spPr>
            <a:ln w="25400">
              <a:noFill/>
            </a:ln>
          </c:spPr>
          <c:marker>
            <c:symbol val="circle"/>
            <c:size val="10"/>
            <c:spPr>
              <a:solidFill>
                <a:schemeClr val="accent1"/>
              </a:solidFill>
              <a:ln w="25400">
                <a:solidFill>
                  <a:schemeClr val="tx2"/>
                </a:solidFill>
              </a:ln>
            </c:spPr>
          </c:marker>
          <c:xVal>
            <c:numRef>
              <c:f>'Bahn, trop. Monat'!$I$41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'Bahn, trop. Monat'!$J$41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6"/>
          <c:order val="4"/>
          <c:tx>
            <c:v>7.09. Apogäum</c:v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chemeClr val="bg1"/>
              </a:solidFill>
              <a:ln w="31750">
                <a:solidFill>
                  <a:srgbClr val="002060"/>
                </a:solidFill>
              </a:ln>
            </c:spPr>
          </c:marker>
          <c:xVal>
            <c:numRef>
              <c:f>'Bahn, trop. Monat'!$W$40</c:f>
              <c:numCache>
                <c:formatCode>0.0</c:formatCode>
                <c:ptCount val="1"/>
                <c:pt idx="0">
                  <c:v>-95.984593515447216</c:v>
                </c:pt>
              </c:numCache>
            </c:numRef>
          </c:xVal>
          <c:yVal>
            <c:numRef>
              <c:f>'Bahn, trop. Monat'!$X$40</c:f>
              <c:numCache>
                <c:formatCode>0.0</c:formatCode>
                <c:ptCount val="1"/>
                <c:pt idx="0">
                  <c:v>-392.65241066835995</c:v>
                </c:pt>
              </c:numCache>
            </c:numRef>
          </c:yVal>
          <c:smooth val="0"/>
        </c:ser>
        <c:ser>
          <c:idx val="5"/>
          <c:order val="5"/>
          <c:tx>
            <c:v>20.09. Perigäum</c:v>
          </c:tx>
          <c:spPr>
            <a:ln w="28575"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4925">
                <a:solidFill>
                  <a:schemeClr val="accent3">
                    <a:lumMod val="50000"/>
                  </a:schemeClr>
                </a:solidFill>
              </a:ln>
            </c:spPr>
          </c:marker>
          <c:xVal>
            <c:numRef>
              <c:f>'Bahn, trop. Monat'!$W$41</c:f>
              <c:numCache>
                <c:formatCode>0.0</c:formatCode>
                <c:ptCount val="1"/>
                <c:pt idx="0">
                  <c:v>182.07760317809669</c:v>
                </c:pt>
              </c:numCache>
            </c:numRef>
          </c:xVal>
          <c:yVal>
            <c:numRef>
              <c:f>'Bahn, trop. Monat'!$X$41</c:f>
              <c:numCache>
                <c:formatCode>0.0</c:formatCode>
                <c:ptCount val="1"/>
                <c:pt idx="0">
                  <c:v>320.8186830858196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08256"/>
        <c:axId val="23900928"/>
      </c:scatterChart>
      <c:valAx>
        <c:axId val="23808256"/>
        <c:scaling>
          <c:orientation val="minMax"/>
          <c:max val="550"/>
          <c:min val="-400"/>
        </c:scaling>
        <c:delete val="0"/>
        <c:axPos val="b"/>
        <c:majorGridlines>
          <c:spPr>
            <a:ln>
              <a:prstDash val="sysDash"/>
            </a:ln>
          </c:spPr>
        </c:majorGridlines>
        <c:minorGridlines>
          <c:spPr>
            <a:ln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 i="1"/>
                  <a:t>x</a:t>
                </a:r>
                <a:r>
                  <a:rPr lang="de-DE" sz="1100"/>
                  <a:t> / 1000 km</a:t>
                </a:r>
              </a:p>
            </c:rich>
          </c:tx>
          <c:layout>
            <c:manualLayout>
              <c:xMode val="edge"/>
              <c:yMode val="edge"/>
              <c:x val="0.82574718845369166"/>
              <c:y val="0.35582871272923683"/>
            </c:manualLayout>
          </c:layout>
          <c:overlay val="0"/>
          <c:spPr>
            <a:solidFill>
              <a:schemeClr val="bg1"/>
            </a:solidFill>
          </c:spPr>
        </c:title>
        <c:numFmt formatCode="0" sourceLinked="0"/>
        <c:majorTickMark val="out"/>
        <c:minorTickMark val="none"/>
        <c:tickLblPos val="nextTo"/>
        <c:spPr>
          <a:solidFill>
            <a:schemeClr val="bg1"/>
          </a:solidFill>
          <a:ln w="19050">
            <a:tailEnd type="arrow"/>
          </a:ln>
        </c:spPr>
        <c:crossAx val="23900928"/>
        <c:crosses val="autoZero"/>
        <c:crossBetween val="midCat"/>
        <c:majorUnit val="200"/>
        <c:minorUnit val="100"/>
      </c:valAx>
      <c:valAx>
        <c:axId val="23900928"/>
        <c:scaling>
          <c:orientation val="minMax"/>
          <c:max val="450"/>
          <c:min val="-500"/>
        </c:scaling>
        <c:delete val="0"/>
        <c:axPos val="l"/>
        <c:majorGridlines>
          <c:spPr>
            <a:ln>
              <a:prstDash val="sysDash"/>
            </a:ln>
          </c:spPr>
        </c:majorGridlines>
        <c:minorGridlines>
          <c:spPr>
            <a:ln>
              <a:prstDash val="sysDash"/>
            </a:ln>
          </c:spPr>
        </c:minorGridlines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de-DE" sz="1100" i="1"/>
                  <a:t>y </a:t>
                </a:r>
                <a:r>
                  <a:rPr lang="de-DE" sz="1100"/>
                  <a:t>/ 1000 km</a:t>
                </a:r>
              </a:p>
            </c:rich>
          </c:tx>
          <c:layout>
            <c:manualLayout>
              <c:xMode val="edge"/>
              <c:yMode val="edge"/>
              <c:x val="0.44769484114271579"/>
              <c:y val="6.7314648369918392E-2"/>
            </c:manualLayout>
          </c:layout>
          <c:overlay val="0"/>
          <c:spPr>
            <a:solidFill>
              <a:schemeClr val="bg1"/>
            </a:solidFill>
          </c:spPr>
        </c:title>
        <c:numFmt formatCode="0" sourceLinked="0"/>
        <c:majorTickMark val="out"/>
        <c:minorTickMark val="none"/>
        <c:tickLblPos val="nextTo"/>
        <c:spPr>
          <a:solidFill>
            <a:schemeClr val="bg1"/>
          </a:solidFill>
          <a:ln w="19050">
            <a:tailEnd type="arrow"/>
          </a:ln>
        </c:spPr>
        <c:crossAx val="23808256"/>
        <c:crosses val="autoZero"/>
        <c:crossBetween val="midCat"/>
        <c:majorUnit val="200"/>
        <c:minorUnit val="100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5.3573656611981317E-2"/>
          <c:y val="0.77742309542496901"/>
          <c:w val="0.89285268677603735"/>
          <c:h val="0.21074258804466162"/>
        </c:manualLayout>
      </c:layout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900" b="1" i="0" u="sng" strike="noStrike">
                <a:solidFill>
                  <a:srgbClr val="000000"/>
                </a:solidFill>
                <a:latin typeface="Arial"/>
                <a:cs typeface="Arial"/>
              </a:rPr>
              <a:t>Diagramm 1</a:t>
            </a:r>
            <a:r>
              <a:rPr lang="de-DE" sz="900" b="1" i="0" strike="noStrike">
                <a:solidFill>
                  <a:srgbClr val="000000"/>
                </a:solidFill>
                <a:latin typeface="Arial"/>
                <a:cs typeface="Arial"/>
              </a:rPr>
              <a:t>   Die Mondbahn im Netz der  ekliptikalen Koordinaten </a:t>
            </a:r>
          </a:p>
          <a:p>
            <a:pPr algn="l"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900" b="1" i="0" strike="noStrike">
                <a:solidFill>
                  <a:srgbClr val="000000"/>
                </a:solidFill>
                <a:latin typeface="Arial"/>
                <a:cs typeface="Arial"/>
              </a:rPr>
              <a:t>(Sept. 2008)    Überhöhte</a:t>
            </a:r>
            <a:r>
              <a:rPr lang="de-DE" sz="9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Darstellung</a:t>
            </a:r>
            <a:endParaRPr lang="de-DE" sz="9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488890524198494"/>
          <c:y val="1.71234324876057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555788859725914E-2"/>
          <c:y val="0.22431539807524253"/>
          <c:w val="0.86666854745778565"/>
          <c:h val="0.72888232720909885"/>
        </c:manualLayout>
      </c:layout>
      <c:scatterChart>
        <c:scatterStyle val="smoothMarker"/>
        <c:varyColors val="0"/>
        <c:ser>
          <c:idx val="0"/>
          <c:order val="0"/>
          <c:tx>
            <c:v>beta in Abhängigkeit von lambda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xVal>
            <c:numRef>
              <c:f>'Bahn, trop. Monat'!$D$7:$D$37</c:f>
              <c:numCache>
                <c:formatCode>0.00</c:formatCode>
                <c:ptCount val="31"/>
                <c:pt idx="0">
                  <c:v>-186.47</c:v>
                </c:pt>
                <c:pt idx="1">
                  <c:v>-173.33</c:v>
                </c:pt>
                <c:pt idx="2">
                  <c:v>-160.49</c:v>
                </c:pt>
                <c:pt idx="3">
                  <c:v>-147.94999999999999</c:v>
                </c:pt>
                <c:pt idx="4">
                  <c:v>-135.66</c:v>
                </c:pt>
                <c:pt idx="5">
                  <c:v>-123.58000000000001</c:v>
                </c:pt>
                <c:pt idx="6">
                  <c:v>-111.65</c:v>
                </c:pt>
                <c:pt idx="7">
                  <c:v>-99.779999999999973</c:v>
                </c:pt>
                <c:pt idx="8">
                  <c:v>-87.889999999999986</c:v>
                </c:pt>
                <c:pt idx="9">
                  <c:v>-75.910000000000025</c:v>
                </c:pt>
                <c:pt idx="10">
                  <c:v>-63.759999999999991</c:v>
                </c:pt>
                <c:pt idx="11">
                  <c:v>-51.370000000000005</c:v>
                </c:pt>
                <c:pt idx="12">
                  <c:v>-38.680000000000007</c:v>
                </c:pt>
                <c:pt idx="13">
                  <c:v>-25.670000000000016</c:v>
                </c:pt>
                <c:pt idx="14">
                  <c:v>-12.319999999999993</c:v>
                </c:pt>
                <c:pt idx="15">
                  <c:v>1.35</c:v>
                </c:pt>
                <c:pt idx="16">
                  <c:v>15.29</c:v>
                </c:pt>
                <c:pt idx="17">
                  <c:v>29.44</c:v>
                </c:pt>
                <c:pt idx="18">
                  <c:v>43.71</c:v>
                </c:pt>
                <c:pt idx="19">
                  <c:v>58.04</c:v>
                </c:pt>
                <c:pt idx="20">
                  <c:v>72.34</c:v>
                </c:pt>
                <c:pt idx="21">
                  <c:v>86.57</c:v>
                </c:pt>
                <c:pt idx="22">
                  <c:v>100.68</c:v>
                </c:pt>
                <c:pt idx="23">
                  <c:v>114.66</c:v>
                </c:pt>
                <c:pt idx="24">
                  <c:v>128.5</c:v>
                </c:pt>
                <c:pt idx="25">
                  <c:v>142.16999999999999</c:v>
                </c:pt>
                <c:pt idx="26">
                  <c:v>155.68</c:v>
                </c:pt>
                <c:pt idx="27">
                  <c:v>169</c:v>
                </c:pt>
                <c:pt idx="28">
                  <c:v>182.12</c:v>
                </c:pt>
                <c:pt idx="29">
                  <c:v>195.02</c:v>
                </c:pt>
                <c:pt idx="30">
                  <c:v>207.68</c:v>
                </c:pt>
              </c:numCache>
            </c:numRef>
          </c:xVal>
          <c:yVal>
            <c:numRef>
              <c:f>'Bahn, trop. Monat'!$E$7:$E$37</c:f>
              <c:numCache>
                <c:formatCode>0.00</c:formatCode>
                <c:ptCount val="31"/>
                <c:pt idx="0">
                  <c:v>-3.01</c:v>
                </c:pt>
                <c:pt idx="1">
                  <c:v>-3.91</c:v>
                </c:pt>
                <c:pt idx="2">
                  <c:v>-4.58</c:v>
                </c:pt>
                <c:pt idx="3">
                  <c:v>-5.0199999999999996</c:v>
                </c:pt>
                <c:pt idx="4">
                  <c:v>-5.22</c:v>
                </c:pt>
                <c:pt idx="5">
                  <c:v>-5.18</c:v>
                </c:pt>
                <c:pt idx="6">
                  <c:v>-4.91</c:v>
                </c:pt>
                <c:pt idx="7">
                  <c:v>-4.4400000000000004</c:v>
                </c:pt>
                <c:pt idx="8">
                  <c:v>-3.77</c:v>
                </c:pt>
                <c:pt idx="9">
                  <c:v>-2.94</c:v>
                </c:pt>
                <c:pt idx="10">
                  <c:v>-1.97</c:v>
                </c:pt>
                <c:pt idx="11">
                  <c:v>-0.88</c:v>
                </c:pt>
                <c:pt idx="12">
                  <c:v>0.27</c:v>
                </c:pt>
                <c:pt idx="13">
                  <c:v>1.44</c:v>
                </c:pt>
                <c:pt idx="14">
                  <c:v>2.5499999999999998</c:v>
                </c:pt>
                <c:pt idx="15">
                  <c:v>3.55</c:v>
                </c:pt>
                <c:pt idx="16">
                  <c:v>4.3499999999999996</c:v>
                </c:pt>
                <c:pt idx="17">
                  <c:v>4.9000000000000004</c:v>
                </c:pt>
                <c:pt idx="18">
                  <c:v>5.15</c:v>
                </c:pt>
                <c:pt idx="19">
                  <c:v>5.08</c:v>
                </c:pt>
                <c:pt idx="20">
                  <c:v>4.7</c:v>
                </c:pt>
                <c:pt idx="21">
                  <c:v>4.03</c:v>
                </c:pt>
                <c:pt idx="22">
                  <c:v>3.12</c:v>
                </c:pt>
                <c:pt idx="23">
                  <c:v>2.0299999999999998</c:v>
                </c:pt>
                <c:pt idx="24">
                  <c:v>0.84</c:v>
                </c:pt>
                <c:pt idx="25">
                  <c:v>-0.39</c:v>
                </c:pt>
                <c:pt idx="26">
                  <c:v>-1.58</c:v>
                </c:pt>
                <c:pt idx="27">
                  <c:v>-2.67</c:v>
                </c:pt>
                <c:pt idx="28">
                  <c:v>-3.59</c:v>
                </c:pt>
                <c:pt idx="29">
                  <c:v>-4.3099999999999996</c:v>
                </c:pt>
                <c:pt idx="30">
                  <c:v>-4.8</c:v>
                </c:pt>
              </c:numCache>
            </c:numRef>
          </c:yVal>
          <c:smooth val="1"/>
        </c:ser>
        <c:ser>
          <c:idx val="1"/>
          <c:order val="1"/>
          <c:tx>
            <c:v>Frühlingspunkt</c:v>
          </c:tx>
          <c:spPr>
            <a:ln w="28575">
              <a:noFill/>
            </a:ln>
          </c:spPr>
          <c:marker>
            <c:symbol val="x"/>
            <c:size val="8"/>
            <c:spPr>
              <a:noFill/>
              <a:ln w="25400">
                <a:solidFill>
                  <a:srgbClr val="FF0000"/>
                </a:solidFill>
                <a:prstDash val="solid"/>
              </a:ln>
            </c:spPr>
          </c:marker>
          <c:xVal>
            <c:numRef>
              <c:f>'Bahn, trop. Monat'!$I$41:$I$41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'Bahn, trop. Monat'!$J$41:$J$41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Knotenpunkte</c:v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'Bahn, trop. Monat'!$I$42:$I$43</c:f>
              <c:numCache>
                <c:formatCode>General</c:formatCode>
                <c:ptCount val="2"/>
                <c:pt idx="0">
                  <c:v>-42</c:v>
                </c:pt>
                <c:pt idx="1">
                  <c:v>138</c:v>
                </c:pt>
              </c:numCache>
            </c:numRef>
          </c:xVal>
          <c:yVal>
            <c:numRef>
              <c:f>'Bahn, trop. Monat'!$J$42:$J$43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400"/>
        <c:axId val="41147008"/>
      </c:scatterChart>
      <c:valAx>
        <c:axId val="39382400"/>
        <c:scaling>
          <c:orientation val="minMax"/>
          <c:max val="220"/>
          <c:min val="-18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strike="noStrike">
                    <a:solidFill>
                      <a:srgbClr val="000000"/>
                    </a:solidFill>
                    <a:latin typeface="Symbol"/>
                  </a:rPr>
                  <a:t>l</a:t>
                </a:r>
                <a:r>
                  <a:rPr lang="de-DE" sz="11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(°)</a:t>
                </a:r>
              </a:p>
            </c:rich>
          </c:tx>
          <c:layout>
            <c:manualLayout>
              <c:xMode val="edge"/>
              <c:yMode val="edge"/>
              <c:x val="0.86711097905214674"/>
              <c:y val="0.48744386118401867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solidFill>
            <a:schemeClr val="bg1"/>
          </a:solidFill>
          <a:ln w="1905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147008"/>
        <c:crosses val="autoZero"/>
        <c:crossBetween val="midCat"/>
        <c:majorUnit val="60"/>
        <c:minorUnit val="10"/>
      </c:valAx>
      <c:valAx>
        <c:axId val="41147008"/>
        <c:scaling>
          <c:orientation val="minMax"/>
          <c:max val="6"/>
          <c:min val="-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strike="noStrike">
                    <a:solidFill>
                      <a:srgbClr val="000000"/>
                    </a:solidFill>
                    <a:latin typeface="Symbol"/>
                  </a:rPr>
                  <a:t>b </a:t>
                </a:r>
                <a:r>
                  <a:rPr lang="de-DE" sz="11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(°)</a:t>
                </a:r>
              </a:p>
            </c:rich>
          </c:tx>
          <c:layout>
            <c:manualLayout>
              <c:xMode val="edge"/>
              <c:yMode val="edge"/>
              <c:x val="0.47938656266097579"/>
              <c:y val="0.18734179060950717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905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9382400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2459681774227951"/>
          <c:y val="0.73858486439195059"/>
          <c:w val="0.22639351899194421"/>
          <c:h val="0.22152121609798775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de-DE" sz="1100" u="sng"/>
              <a:t>Diagramm 4</a:t>
            </a:r>
            <a:r>
              <a:rPr lang="de-DE" sz="1100"/>
              <a:t>  Synodische Umlaufzeiten des Mondes  </a:t>
            </a:r>
          </a:p>
          <a:p>
            <a:pPr>
              <a:defRPr sz="1100"/>
            </a:pPr>
            <a:r>
              <a:rPr lang="de-DE" sz="1100"/>
              <a:t>  2008 und 2009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396492105153779E-2"/>
          <c:y val="0.18607648002333382"/>
          <c:w val="0.87589284672749346"/>
          <c:h val="0.62113617153787992"/>
        </c:manualLayout>
      </c:layout>
      <c:scatterChart>
        <c:scatterStyle val="lineMarker"/>
        <c:varyColors val="0"/>
        <c:ser>
          <c:idx val="0"/>
          <c:order val="0"/>
          <c:tx>
            <c:v> Vollmond</c:v>
          </c:tx>
          <c:spPr>
            <a:ln w="25400">
              <a:noFill/>
            </a:ln>
          </c:spPr>
          <c:marker>
            <c:symbol val="circle"/>
            <c:size val="5"/>
            <c:spPr>
              <a:solidFill>
                <a:srgbClr val="00B050"/>
              </a:solidFill>
            </c:spPr>
          </c:marker>
          <c:xVal>
            <c:numRef>
              <c:f>'Synod. Monat'!$B$7:$B$30</c:f>
              <c:numCache>
                <c:formatCode>0</c:formatCode>
                <c:ptCount val="2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</c:numCache>
            </c:numRef>
          </c:xVal>
          <c:yVal>
            <c:numRef>
              <c:f>'Synod. Monat'!$D$7:$D$30</c:f>
              <c:numCache>
                <c:formatCode>0.00</c:formatCode>
                <c:ptCount val="24"/>
                <c:pt idx="0">
                  <c:v>29.580555555556202</c:v>
                </c:pt>
                <c:pt idx="1">
                  <c:v>29.631944444445253</c:v>
                </c:pt>
                <c:pt idx="2">
                  <c:v>29.65625</c:v>
                </c:pt>
                <c:pt idx="3">
                  <c:v>29.656944444439432</c:v>
                </c:pt>
                <c:pt idx="4">
                  <c:v>29.638194444443798</c:v>
                </c:pt>
                <c:pt idx="5">
                  <c:v>29.603472222224809</c:v>
                </c:pt>
                <c:pt idx="6">
                  <c:v>29.553472222221899</c:v>
                </c:pt>
                <c:pt idx="7">
                  <c:v>29.497916666667152</c:v>
                </c:pt>
                <c:pt idx="8">
                  <c:v>29.450694444443798</c:v>
                </c:pt>
                <c:pt idx="9">
                  <c:v>29.427083333335759</c:v>
                </c:pt>
                <c:pt idx="10">
                  <c:v>29.430555555554747</c:v>
                </c:pt>
                <c:pt idx="11">
                  <c:v>29.450694444443798</c:v>
                </c:pt>
                <c:pt idx="12">
                  <c:v>29.474305555551837</c:v>
                </c:pt>
                <c:pt idx="13">
                  <c:v>29.491666666668607</c:v>
                </c:pt>
                <c:pt idx="14">
                  <c:v>29.513194444443798</c:v>
                </c:pt>
                <c:pt idx="15">
                  <c:v>29.545138888890506</c:v>
                </c:pt>
                <c:pt idx="16">
                  <c:v>29.590972222220444</c:v>
                </c:pt>
                <c:pt idx="17">
                  <c:v>29.631249999998545</c:v>
                </c:pt>
                <c:pt idx="18">
                  <c:v>29.648611111115315</c:v>
                </c:pt>
                <c:pt idx="19">
                  <c:v>29.629861111112405</c:v>
                </c:pt>
                <c:pt idx="20">
                  <c:v>29.588888888887595</c:v>
                </c:pt>
                <c:pt idx="21">
                  <c:v>29.544444444443798</c:v>
                </c:pt>
                <c:pt idx="22">
                  <c:v>29.511111111110949</c:v>
                </c:pt>
                <c:pt idx="23">
                  <c:v>29.48750000000291</c:v>
                </c:pt>
              </c:numCache>
            </c:numRef>
          </c:yVal>
          <c:smooth val="0"/>
        </c:ser>
        <c:ser>
          <c:idx val="1"/>
          <c:order val="1"/>
          <c:tx>
            <c:v> Vollmond im Perigäum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tx2"/>
              </a:solidFill>
            </c:spPr>
          </c:marker>
          <c:xVal>
            <c:numRef>
              <c:f>'Synod. Monat'!$B$16</c:f>
              <c:numCache>
                <c:formatCode>0</c:formatCode>
                <c:ptCount val="1"/>
                <c:pt idx="0">
                  <c:v>11</c:v>
                </c:pt>
              </c:numCache>
            </c:numRef>
          </c:xVal>
          <c:yVal>
            <c:numRef>
              <c:f>'Synod. Monat'!$D$16</c:f>
              <c:numCache>
                <c:formatCode>0.00</c:formatCode>
                <c:ptCount val="1"/>
                <c:pt idx="0">
                  <c:v>29.427083333335759</c:v>
                </c:pt>
              </c:numCache>
            </c:numRef>
          </c:yVal>
          <c:smooth val="0"/>
        </c:ser>
        <c:ser>
          <c:idx val="2"/>
          <c:order val="2"/>
          <c:tx>
            <c:v> Vollmond im Apogäum</c:v>
          </c:tx>
          <c:spPr>
            <a:ln w="25400">
              <a:noFill/>
            </a:ln>
          </c:spPr>
          <c:marker>
            <c:symbol val="square"/>
            <c:size val="8"/>
            <c:spPr>
              <a:solidFill>
                <a:srgbClr val="C00000"/>
              </a:solidFill>
            </c:spPr>
          </c:marker>
          <c:xVal>
            <c:numRef>
              <c:f>'Synod. Monat'!$B$10</c:f>
              <c:numCache>
                <c:formatCode>0</c:formatCode>
                <c:ptCount val="1"/>
                <c:pt idx="0">
                  <c:v>5</c:v>
                </c:pt>
              </c:numCache>
            </c:numRef>
          </c:xVal>
          <c:yVal>
            <c:numRef>
              <c:f>'Synod. Monat'!$D$10</c:f>
              <c:numCache>
                <c:formatCode>0.00</c:formatCode>
                <c:ptCount val="1"/>
                <c:pt idx="0">
                  <c:v>29.656944444439432</c:v>
                </c:pt>
              </c:numCache>
            </c:numRef>
          </c:yVal>
          <c:smooth val="0"/>
        </c:ser>
        <c:ser>
          <c:idx val="3"/>
          <c:order val="3"/>
          <c:tx>
            <c:v> Vollmond im Apogäum</c:v>
          </c:tx>
          <c:spPr>
            <a:ln w="28575">
              <a:noFill/>
            </a:ln>
          </c:spPr>
          <c:marker>
            <c:symbol val="square"/>
            <c:size val="8"/>
            <c:spPr>
              <a:solidFill>
                <a:srgbClr val="C00000"/>
              </a:solidFill>
            </c:spPr>
          </c:marker>
          <c:xVal>
            <c:numRef>
              <c:f>'Synod. Monat'!$B$24</c:f>
              <c:numCache>
                <c:formatCode>0</c:formatCode>
                <c:ptCount val="1"/>
                <c:pt idx="0">
                  <c:v>19</c:v>
                </c:pt>
              </c:numCache>
            </c:numRef>
          </c:xVal>
          <c:yVal>
            <c:numRef>
              <c:f>'Synod. Monat'!$D$24</c:f>
              <c:numCache>
                <c:formatCode>0.00</c:formatCode>
                <c:ptCount val="1"/>
                <c:pt idx="0">
                  <c:v>29.631249999998545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62944"/>
        <c:axId val="67899776"/>
      </c:scatterChart>
      <c:valAx>
        <c:axId val="66962944"/>
        <c:scaling>
          <c:orientation val="minMax"/>
          <c:max val="25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minorGridlines>
          <c:spPr>
            <a:ln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de-DE" sz="1050"/>
                  <a:t>Nr.  der Lunation </a:t>
                </a:r>
              </a:p>
            </c:rich>
          </c:tx>
          <c:layout>
            <c:manualLayout>
              <c:xMode val="edge"/>
              <c:yMode val="edge"/>
              <c:x val="0.79498629337999416"/>
              <c:y val="0.74100729075532223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out"/>
        <c:minorTickMark val="out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67899776"/>
        <c:crossesAt val="29.4"/>
        <c:crossBetween val="midCat"/>
        <c:majorUnit val="2"/>
        <c:minorUnit val="1"/>
      </c:valAx>
      <c:valAx>
        <c:axId val="67899776"/>
        <c:scaling>
          <c:orientation val="minMax"/>
          <c:max val="29.7"/>
          <c:min val="29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Zeitabstand / </a:t>
                </a:r>
                <a:r>
                  <a:rPr lang="en-US" sz="1100" i="0"/>
                  <a:t>d</a:t>
                </a:r>
              </a:p>
            </c:rich>
          </c:tx>
          <c:layout>
            <c:manualLayout>
              <c:xMode val="edge"/>
              <c:yMode val="edge"/>
              <c:x val="9.3915260592425942E-2"/>
              <c:y val="0.1248034412365121"/>
            </c:manualLayout>
          </c:layout>
          <c:overlay val="0"/>
          <c:spPr>
            <a:solidFill>
              <a:schemeClr val="bg1"/>
            </a:solidFill>
          </c:spPr>
        </c:title>
        <c:numFmt formatCode="0.00" sourceLinked="0"/>
        <c:majorTickMark val="out"/>
        <c:minorTickMark val="out"/>
        <c:tickLblPos val="nextTo"/>
        <c:spPr>
          <a:solidFill>
            <a:sysClr val="window" lastClr="FFFFFF"/>
          </a:solidFill>
          <a:ln w="19050">
            <a:tailEnd type="arrow"/>
          </a:ln>
        </c:spPr>
        <c:txPr>
          <a:bodyPr anchor="ctr" anchorCtr="0"/>
          <a:lstStyle/>
          <a:p>
            <a:pPr>
              <a:defRPr sz="900"/>
            </a:pPr>
            <a:endParaRPr lang="de-DE"/>
          </a:p>
        </c:txPr>
        <c:crossAx val="66962944"/>
        <c:crossesAt val="0"/>
        <c:crossBetween val="midCat"/>
        <c:majorUnit val="0.05"/>
        <c:minorUnit val="1.0000000000000005E-2"/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9.7877973586635025E-2"/>
          <c:y val="0.88681554636178961"/>
          <c:w val="0.84128108986376648"/>
          <c:h val="9.0521256915626708E-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 u="sng"/>
              <a:t>Diagramm 5</a:t>
            </a:r>
            <a:r>
              <a:rPr lang="de-DE" sz="1200"/>
              <a:t>  Synodische Umlaufzeiten des Mondes  2002 bis 2004</a:t>
            </a:r>
          </a:p>
        </c:rich>
      </c:tx>
      <c:layout>
        <c:manualLayout>
          <c:xMode val="edge"/>
          <c:yMode val="edge"/>
          <c:x val="0.24039129737531442"/>
          <c:y val="0.0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503181212296131E-2"/>
          <c:y val="0.1582987022455527"/>
          <c:w val="0.89648788665814672"/>
          <c:h val="0.65005867341374912"/>
        </c:manualLayout>
      </c:layout>
      <c:scatterChart>
        <c:scatterStyle val="lineMarker"/>
        <c:varyColors val="0"/>
        <c:ser>
          <c:idx val="0"/>
          <c:order val="0"/>
          <c:tx>
            <c:v>Vollmond</c:v>
          </c:tx>
          <c:spPr>
            <a:ln w="25400">
              <a:noFill/>
            </a:ln>
          </c:spPr>
          <c:marker>
            <c:symbol val="circle"/>
            <c:size val="5"/>
            <c:spPr>
              <a:solidFill>
                <a:srgbClr val="00B050"/>
              </a:solidFill>
            </c:spPr>
          </c:marker>
          <c:xVal>
            <c:numRef>
              <c:f>'Synod. Monat'!$B$40:$B$70</c:f>
              <c:numCache>
                <c:formatCode>0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xVal>
          <c:yVal>
            <c:numRef>
              <c:f>'Synod. Monat'!$D$40:$D$70</c:f>
              <c:numCache>
                <c:formatCode>0.00</c:formatCode>
                <c:ptCount val="31"/>
                <c:pt idx="0">
                  <c:v>29.434722222220444</c:v>
                </c:pt>
                <c:pt idx="1">
                  <c:v>29.380555555559113</c:v>
                </c:pt>
                <c:pt idx="2">
                  <c:v>29.35763888888323</c:v>
                </c:pt>
                <c:pt idx="3">
                  <c:v>29.369444444448163</c:v>
                </c:pt>
                <c:pt idx="4">
                  <c:v>29.410416666665697</c:v>
                </c:pt>
                <c:pt idx="5">
                  <c:v>29.475694444445253</c:v>
                </c:pt>
                <c:pt idx="6">
                  <c:v>29.556944444440887</c:v>
                </c:pt>
                <c:pt idx="7">
                  <c:v>29.645833333335759</c:v>
                </c:pt>
                <c:pt idx="8">
                  <c:v>29.722916666665697</c:v>
                </c:pt>
                <c:pt idx="9">
                  <c:v>29.759027777778101</c:v>
                </c:pt>
                <c:pt idx="10">
                  <c:v>29.734027777776646</c:v>
                </c:pt>
                <c:pt idx="11">
                  <c:v>29.650694444448163</c:v>
                </c:pt>
                <c:pt idx="12">
                  <c:v>29.544444444443798</c:v>
                </c:pt>
                <c:pt idx="13">
                  <c:v>29.446527777778101</c:v>
                </c:pt>
                <c:pt idx="14">
                  <c:v>29.375694444439432</c:v>
                </c:pt>
                <c:pt idx="15">
                  <c:v>29.333333333335759</c:v>
                </c:pt>
                <c:pt idx="16">
                  <c:v>29.319444444445253</c:v>
                </c:pt>
                <c:pt idx="17">
                  <c:v>29.337500000001455</c:v>
                </c:pt>
                <c:pt idx="18">
                  <c:v>29.393749999995634</c:v>
                </c:pt>
                <c:pt idx="19">
                  <c:v>29.491666666668607</c:v>
                </c:pt>
                <c:pt idx="20">
                  <c:v>29.618750000001455</c:v>
                </c:pt>
                <c:pt idx="21">
                  <c:v>29.740277777775191</c:v>
                </c:pt>
                <c:pt idx="22">
                  <c:v>29.807638888887595</c:v>
                </c:pt>
                <c:pt idx="23">
                  <c:v>29.794444444451074</c:v>
                </c:pt>
                <c:pt idx="24">
                  <c:v>29.713194444440887</c:v>
                </c:pt>
                <c:pt idx="25">
                  <c:v>29.602083333331393</c:v>
                </c:pt>
                <c:pt idx="26">
                  <c:v>29.491666666668607</c:v>
                </c:pt>
                <c:pt idx="27">
                  <c:v>29.396527777775191</c:v>
                </c:pt>
                <c:pt idx="28">
                  <c:v>29.323611111110949</c:v>
                </c:pt>
                <c:pt idx="29">
                  <c:v>29.284027777779556</c:v>
                </c:pt>
                <c:pt idx="30">
                  <c:v>29.289583333331393</c:v>
                </c:pt>
              </c:numCache>
            </c:numRef>
          </c:yVal>
          <c:smooth val="0"/>
        </c:ser>
        <c:ser>
          <c:idx val="1"/>
          <c:order val="1"/>
          <c:tx>
            <c:v> Vollmond im Perigäum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2060"/>
              </a:solidFill>
            </c:spPr>
          </c:marker>
          <c:xVal>
            <c:numRef>
              <c:f>'Synod. Monat'!$B$41</c:f>
              <c:numCache>
                <c:formatCode>0</c:formatCode>
                <c:ptCount val="1"/>
                <c:pt idx="0">
                  <c:v>3</c:v>
                </c:pt>
              </c:numCache>
            </c:numRef>
          </c:xVal>
          <c:yVal>
            <c:numRef>
              <c:f>'Synod. Monat'!$D$41</c:f>
              <c:numCache>
                <c:formatCode>0.00</c:formatCode>
                <c:ptCount val="1"/>
                <c:pt idx="0">
                  <c:v>29.380555555559113</c:v>
                </c:pt>
              </c:numCache>
            </c:numRef>
          </c:yVal>
          <c:smooth val="0"/>
        </c:ser>
        <c:ser>
          <c:idx val="2"/>
          <c:order val="2"/>
          <c:tx>
            <c:v> Vollmond im Apogäum</c:v>
          </c:tx>
          <c:spPr>
            <a:ln w="25400"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</c:spPr>
          </c:marker>
          <c:xVal>
            <c:numRef>
              <c:f>'Synod. Monat'!$B$62</c:f>
              <c:numCache>
                <c:formatCode>0</c:formatCode>
                <c:ptCount val="1"/>
                <c:pt idx="0">
                  <c:v>24</c:v>
                </c:pt>
              </c:numCache>
            </c:numRef>
          </c:xVal>
          <c:yVal>
            <c:numRef>
              <c:f>'Synod. Monat'!$D$62</c:f>
              <c:numCache>
                <c:formatCode>0.00</c:formatCode>
                <c:ptCount val="1"/>
                <c:pt idx="0">
                  <c:v>29.807638888887595</c:v>
                </c:pt>
              </c:numCache>
            </c:numRef>
          </c:yVal>
          <c:smooth val="0"/>
        </c:ser>
        <c:ser>
          <c:idx val="3"/>
          <c:order val="3"/>
          <c:tx>
            <c:v> Vollmond im Apogäum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</c:spPr>
          </c:marker>
          <c:xVal>
            <c:numRef>
              <c:f>'Synod. Monat'!$B$48</c:f>
              <c:numCache>
                <c:formatCode>0</c:formatCode>
                <c:ptCount val="1"/>
                <c:pt idx="0">
                  <c:v>10</c:v>
                </c:pt>
              </c:numCache>
            </c:numRef>
          </c:xVal>
          <c:yVal>
            <c:numRef>
              <c:f>'Synod. Monat'!$D$48</c:f>
              <c:numCache>
                <c:formatCode>0.00</c:formatCode>
                <c:ptCount val="1"/>
                <c:pt idx="0">
                  <c:v>29.722916666665697</c:v>
                </c:pt>
              </c:numCache>
            </c:numRef>
          </c:yVal>
          <c:smooth val="0"/>
        </c:ser>
        <c:ser>
          <c:idx val="4"/>
          <c:order val="4"/>
          <c:tx>
            <c:v> Vollmond im Perigäum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2060"/>
              </a:solidFill>
            </c:spPr>
          </c:marker>
          <c:xVal>
            <c:numRef>
              <c:f>'Synod. Monat'!$B$69</c:f>
              <c:numCache>
                <c:formatCode>0</c:formatCode>
                <c:ptCount val="1"/>
                <c:pt idx="0">
                  <c:v>31</c:v>
                </c:pt>
              </c:numCache>
            </c:numRef>
          </c:xVal>
          <c:yVal>
            <c:numRef>
              <c:f>'Synod. Monat'!$D$69</c:f>
              <c:numCache>
                <c:formatCode>0.00</c:formatCode>
                <c:ptCount val="1"/>
                <c:pt idx="0">
                  <c:v>29.284027777779556</c:v>
                </c:pt>
              </c:numCache>
            </c:numRef>
          </c:yVal>
          <c:smooth val="0"/>
        </c:ser>
        <c:ser>
          <c:idx val="5"/>
          <c:order val="5"/>
          <c:tx>
            <c:v> Vollmond im Perigäum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2060"/>
              </a:solidFill>
            </c:spPr>
          </c:marker>
          <c:xVal>
            <c:numRef>
              <c:f>'Synod. Monat'!$B$55</c:f>
              <c:numCache>
                <c:formatCode>0</c:formatCode>
                <c:ptCount val="1"/>
                <c:pt idx="0">
                  <c:v>17</c:v>
                </c:pt>
              </c:numCache>
            </c:numRef>
          </c:xVal>
          <c:yVal>
            <c:numRef>
              <c:f>'Synod. Monat'!$D$55</c:f>
              <c:numCache>
                <c:formatCode>0.00</c:formatCode>
                <c:ptCount val="1"/>
                <c:pt idx="0">
                  <c:v>29.333333333335759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35040"/>
        <c:axId val="70595328"/>
      </c:scatterChart>
      <c:valAx>
        <c:axId val="70535040"/>
        <c:scaling>
          <c:orientation val="minMax"/>
          <c:max val="32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minorGridlines>
          <c:spPr>
            <a:ln w="12700"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Nr. der Lunation </a:t>
                </a:r>
              </a:p>
            </c:rich>
          </c:tx>
          <c:layout>
            <c:manualLayout>
              <c:xMode val="edge"/>
              <c:yMode val="edge"/>
              <c:x val="0.8035884178038144"/>
              <c:y val="0.74342324856451769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#,##0" sourceLinked="0"/>
        <c:majorTickMark val="out"/>
        <c:minorTickMark val="out"/>
        <c:tickLblPos val="nextTo"/>
        <c:spPr>
          <a:ln w="12700"/>
        </c:spPr>
        <c:txPr>
          <a:bodyPr/>
          <a:lstStyle/>
          <a:p>
            <a:pPr>
              <a:defRPr sz="1000"/>
            </a:pPr>
            <a:endParaRPr lang="de-DE"/>
          </a:p>
        </c:txPr>
        <c:crossAx val="70595328"/>
        <c:crosses val="autoZero"/>
        <c:crossBetween val="midCat"/>
        <c:majorUnit val="2"/>
        <c:minorUnit val="1"/>
      </c:valAx>
      <c:valAx>
        <c:axId val="70595328"/>
        <c:scaling>
          <c:orientation val="minMax"/>
          <c:max val="29.9"/>
          <c:min val="29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Zeitabstand / </a:t>
                </a:r>
                <a:r>
                  <a:rPr lang="en-US" sz="1100" i="0"/>
                  <a:t>d</a:t>
                </a:r>
              </a:p>
            </c:rich>
          </c:tx>
          <c:layout>
            <c:manualLayout>
              <c:xMode val="edge"/>
              <c:yMode val="edge"/>
              <c:x val="7.4072143584096903E-2"/>
              <c:y val="0.13940669181058252"/>
            </c:manualLayout>
          </c:layout>
          <c:overlay val="0"/>
          <c:spPr>
            <a:solidFill>
              <a:schemeClr val="bg1"/>
            </a:solidFill>
          </c:spPr>
        </c:title>
        <c:numFmt formatCode="0.0" sourceLinked="0"/>
        <c:majorTickMark val="out"/>
        <c:minorTickMark val="out"/>
        <c:tickLblPos val="nextTo"/>
        <c:spPr>
          <a:ln w="19050">
            <a:tailEnd type="arrow"/>
          </a:ln>
        </c:spPr>
        <c:txPr>
          <a:bodyPr/>
          <a:lstStyle/>
          <a:p>
            <a:pPr>
              <a:defRPr sz="900"/>
            </a:pPr>
            <a:endParaRPr lang="de-DE"/>
          </a:p>
        </c:txPr>
        <c:crossAx val="70535040"/>
        <c:crosses val="autoZero"/>
        <c:crossBetween val="midCat"/>
        <c:majorUnit val="0.1"/>
        <c:minorUnit val="2.0000000000000011E-2"/>
      </c:valAx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2154637343446192"/>
          <c:y val="0.88533920794526566"/>
          <c:w val="0.82396056500004333"/>
          <c:h val="8.9643062909820048E-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 u="sng"/>
              <a:t>Diagramm 6</a:t>
            </a:r>
            <a:r>
              <a:rPr lang="en-US" sz="1100"/>
              <a:t>  Graphische Ermittlung einer anomalistischen Umlaufzeit   </a:t>
            </a:r>
          </a:p>
          <a:p>
            <a:pPr>
              <a:defRPr sz="1100"/>
            </a:pPr>
            <a:r>
              <a:rPr lang="en-US" sz="1100"/>
              <a:t>(Januar  2008)</a:t>
            </a:r>
          </a:p>
        </c:rich>
      </c:tx>
      <c:layout>
        <c:manualLayout>
          <c:xMode val="edge"/>
          <c:yMode val="edge"/>
          <c:x val="0.197850809014175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4822842555493693E-2"/>
          <c:y val="0.12583396023616902"/>
          <c:w val="0.8875266441030174"/>
          <c:h val="0.7621135003301337"/>
        </c:manualLayout>
      </c:layout>
      <c:scatterChart>
        <c:scatterStyle val="smoothMarker"/>
        <c:varyColors val="0"/>
        <c:ser>
          <c:idx val="0"/>
          <c:order val="0"/>
          <c:tx>
            <c:v>Scheinbarer Radius des Mondes gegen die Tagesnummer</c:v>
          </c:tx>
          <c:spPr>
            <a:ln w="19050"/>
          </c:spPr>
          <c:marker>
            <c:symbol val="diamond"/>
            <c:size val="3"/>
          </c:marker>
          <c:xVal>
            <c:numRef>
              <c:f>'Anom. u. sid. Monat'!$C$4:$C$94</c:f>
              <c:numCache>
                <c:formatCode>General</c:formatCode>
                <c:ptCount val="9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</c:numCache>
            </c:numRef>
          </c:xVal>
          <c:yVal>
            <c:numRef>
              <c:f>'Anom. u. sid. Monat'!$F$4:$F$94</c:f>
              <c:numCache>
                <c:formatCode>0.00</c:formatCode>
                <c:ptCount val="91"/>
                <c:pt idx="0">
                  <c:v>14.866666666666667</c:v>
                </c:pt>
                <c:pt idx="1">
                  <c:v>14.783333333333333</c:v>
                </c:pt>
                <c:pt idx="2">
                  <c:v>14.75</c:v>
                </c:pt>
                <c:pt idx="3">
                  <c:v>14.75</c:v>
                </c:pt>
                <c:pt idx="4">
                  <c:v>14.8</c:v>
                </c:pt>
                <c:pt idx="5">
                  <c:v>14.866666666666667</c:v>
                </c:pt>
                <c:pt idx="6">
                  <c:v>14.966666666666667</c:v>
                </c:pt>
                <c:pt idx="7">
                  <c:v>15.083333333333334</c:v>
                </c:pt>
                <c:pt idx="8">
                  <c:v>15.216666666666667</c:v>
                </c:pt>
                <c:pt idx="9">
                  <c:v>15.35</c:v>
                </c:pt>
                <c:pt idx="10">
                  <c:v>15.483333333333333</c:v>
                </c:pt>
                <c:pt idx="11">
                  <c:v>15.616666666666667</c:v>
                </c:pt>
                <c:pt idx="12">
                  <c:v>15.733333333333333</c:v>
                </c:pt>
                <c:pt idx="13">
                  <c:v>15.866666666666667</c:v>
                </c:pt>
                <c:pt idx="14">
                  <c:v>15.983333333333333</c:v>
                </c:pt>
                <c:pt idx="15">
                  <c:v>16.100000000000001</c:v>
                </c:pt>
                <c:pt idx="16">
                  <c:v>16.2</c:v>
                </c:pt>
                <c:pt idx="17">
                  <c:v>16.266666666666666</c:v>
                </c:pt>
                <c:pt idx="18">
                  <c:v>16.3</c:v>
                </c:pt>
                <c:pt idx="19">
                  <c:v>16.3</c:v>
                </c:pt>
                <c:pt idx="20">
                  <c:v>16.233333333333334</c:v>
                </c:pt>
                <c:pt idx="21">
                  <c:v>16.133333333333333</c:v>
                </c:pt>
                <c:pt idx="22">
                  <c:v>15.966666666666667</c:v>
                </c:pt>
                <c:pt idx="23">
                  <c:v>15.783333333333333</c:v>
                </c:pt>
                <c:pt idx="24">
                  <c:v>15.583333333333334</c:v>
                </c:pt>
                <c:pt idx="25">
                  <c:v>15.366666666666667</c:v>
                </c:pt>
                <c:pt idx="26">
                  <c:v>15.166666666666666</c:v>
                </c:pt>
                <c:pt idx="27">
                  <c:v>15.016666666666667</c:v>
                </c:pt>
                <c:pt idx="28">
                  <c:v>14.883333333333333</c:v>
                </c:pt>
                <c:pt idx="29">
                  <c:v>14.8</c:v>
                </c:pt>
                <c:pt idx="30">
                  <c:v>14.766666666666667</c:v>
                </c:pt>
                <c:pt idx="31">
                  <c:v>14.783333333333333</c:v>
                </c:pt>
                <c:pt idx="32">
                  <c:v>14.85</c:v>
                </c:pt>
                <c:pt idx="33">
                  <c:v>14.95</c:v>
                </c:pt>
                <c:pt idx="34">
                  <c:v>15.083333333333334</c:v>
                </c:pt>
                <c:pt idx="35">
                  <c:v>15.233333333333333</c:v>
                </c:pt>
                <c:pt idx="36">
                  <c:v>15.4</c:v>
                </c:pt>
                <c:pt idx="37">
                  <c:v>15.566666666666666</c:v>
                </c:pt>
                <c:pt idx="38">
                  <c:v>15.716666666666667</c:v>
                </c:pt>
                <c:pt idx="39">
                  <c:v>15.85</c:v>
                </c:pt>
                <c:pt idx="40">
                  <c:v>15.95</c:v>
                </c:pt>
                <c:pt idx="41">
                  <c:v>16.033333333333335</c:v>
                </c:pt>
                <c:pt idx="42">
                  <c:v>16.100000000000001</c:v>
                </c:pt>
                <c:pt idx="43">
                  <c:v>16.133333333333333</c:v>
                </c:pt>
                <c:pt idx="44">
                  <c:v>16.133333333333333</c:v>
                </c:pt>
                <c:pt idx="45">
                  <c:v>16.133333333333333</c:v>
                </c:pt>
                <c:pt idx="46">
                  <c:v>16.100000000000001</c:v>
                </c:pt>
                <c:pt idx="47">
                  <c:v>16.05</c:v>
                </c:pt>
                <c:pt idx="48">
                  <c:v>15.966666666666667</c:v>
                </c:pt>
                <c:pt idx="49">
                  <c:v>15.866666666666667</c:v>
                </c:pt>
                <c:pt idx="50">
                  <c:v>15.733333333333333</c:v>
                </c:pt>
                <c:pt idx="51">
                  <c:v>15.6</c:v>
                </c:pt>
                <c:pt idx="52">
                  <c:v>15.433333333333334</c:v>
                </c:pt>
                <c:pt idx="53">
                  <c:v>15.266666666666667</c:v>
                </c:pt>
                <c:pt idx="54">
                  <c:v>15.116666666666667</c:v>
                </c:pt>
                <c:pt idx="55">
                  <c:v>14.983333333333333</c:v>
                </c:pt>
                <c:pt idx="56">
                  <c:v>14.866666666666667</c:v>
                </c:pt>
                <c:pt idx="57">
                  <c:v>14.8</c:v>
                </c:pt>
                <c:pt idx="58">
                  <c:v>14.766666666666667</c:v>
                </c:pt>
                <c:pt idx="59">
                  <c:v>14.8</c:v>
                </c:pt>
                <c:pt idx="60">
                  <c:v>14.866666666666667</c:v>
                </c:pt>
                <c:pt idx="61">
                  <c:v>14.983333333333333</c:v>
                </c:pt>
                <c:pt idx="62">
                  <c:v>15.133333333333333</c:v>
                </c:pt>
                <c:pt idx="63">
                  <c:v>15.316666666666666</c:v>
                </c:pt>
                <c:pt idx="64">
                  <c:v>15.516666666666667</c:v>
                </c:pt>
                <c:pt idx="65">
                  <c:v>15.733333333333333</c:v>
                </c:pt>
                <c:pt idx="66">
                  <c:v>15.933333333333334</c:v>
                </c:pt>
                <c:pt idx="67">
                  <c:v>16.100000000000001</c:v>
                </c:pt>
                <c:pt idx="68">
                  <c:v>16.216666666666665</c:v>
                </c:pt>
                <c:pt idx="69">
                  <c:v>16.283333333333335</c:v>
                </c:pt>
                <c:pt idx="70">
                  <c:v>16.316666666666666</c:v>
                </c:pt>
                <c:pt idx="71">
                  <c:v>16.283333333333335</c:v>
                </c:pt>
                <c:pt idx="72">
                  <c:v>16.216666666666665</c:v>
                </c:pt>
                <c:pt idx="73">
                  <c:v>16.133333333333333</c:v>
                </c:pt>
                <c:pt idx="74">
                  <c:v>16.016666666666666</c:v>
                </c:pt>
                <c:pt idx="75">
                  <c:v>15.9</c:v>
                </c:pt>
                <c:pt idx="76">
                  <c:v>15.766666666666667</c:v>
                </c:pt>
                <c:pt idx="77">
                  <c:v>15.633333333333333</c:v>
                </c:pt>
                <c:pt idx="78">
                  <c:v>15.5</c:v>
                </c:pt>
                <c:pt idx="79">
                  <c:v>15.366666666666667</c:v>
                </c:pt>
                <c:pt idx="80">
                  <c:v>15.233333333333333</c:v>
                </c:pt>
                <c:pt idx="81">
                  <c:v>15.116666666666667</c:v>
                </c:pt>
                <c:pt idx="82">
                  <c:v>15</c:v>
                </c:pt>
                <c:pt idx="83">
                  <c:v>14.9</c:v>
                </c:pt>
                <c:pt idx="84">
                  <c:v>14.816666666666666</c:v>
                </c:pt>
                <c:pt idx="85">
                  <c:v>14.766666666666667</c:v>
                </c:pt>
                <c:pt idx="86">
                  <c:v>14.75</c:v>
                </c:pt>
                <c:pt idx="87">
                  <c:v>14.783333333333333</c:v>
                </c:pt>
                <c:pt idx="88">
                  <c:v>14.85</c:v>
                </c:pt>
                <c:pt idx="89">
                  <c:v>14.966666666666667</c:v>
                </c:pt>
                <c:pt idx="90">
                  <c:v>15.133333333333333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16128"/>
        <c:axId val="91496832"/>
      </c:scatterChart>
      <c:valAx>
        <c:axId val="91216128"/>
        <c:scaling>
          <c:orientation val="minMax"/>
          <c:max val="35"/>
          <c:min val="0"/>
        </c:scaling>
        <c:delete val="0"/>
        <c:axPos val="b"/>
        <c:majorGridlines>
          <c:spPr>
            <a:ln w="6350">
              <a:prstDash val="sysDash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100" i="1"/>
                </a:pPr>
                <a:r>
                  <a:rPr lang="en-US" sz="1100" i="0"/>
                  <a:t>Tages-Nr.</a:t>
                </a:r>
              </a:p>
            </c:rich>
          </c:tx>
          <c:layout>
            <c:manualLayout>
              <c:xMode val="edge"/>
              <c:yMode val="edge"/>
              <c:x val="0.86497285559174808"/>
              <c:y val="0.82245566081722399"/>
            </c:manualLayout>
          </c:layout>
          <c:overlay val="0"/>
          <c:spPr>
            <a:solidFill>
              <a:srgbClr val="FFFFFF"/>
            </a:solidFill>
          </c:spPr>
        </c:title>
        <c:numFmt formatCode="General" sourceLinked="1"/>
        <c:majorTickMark val="out"/>
        <c:minorTickMark val="out"/>
        <c:tickLblPos val="nextTo"/>
        <c:spPr>
          <a:ln w="19050">
            <a:tailEnd type="arrow"/>
          </a:ln>
        </c:spPr>
        <c:crossAx val="91496832"/>
        <c:crosses val="autoZero"/>
        <c:crossBetween val="midCat"/>
        <c:majorUnit val="5"/>
        <c:minorUnit val="1"/>
      </c:valAx>
      <c:valAx>
        <c:axId val="91496832"/>
        <c:scaling>
          <c:orientation val="minMax"/>
          <c:max val="16.399999999999999"/>
          <c:min val="14.6"/>
        </c:scaling>
        <c:delete val="0"/>
        <c:axPos val="l"/>
        <c:minorGridlines/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de-DE" sz="1100" i="0">
                    <a:latin typeface="Calibri"/>
                  </a:rPr>
                  <a:t>Scheinbarer Halbmesser</a:t>
                </a:r>
                <a:r>
                  <a:rPr lang="de-DE" sz="1100" i="1">
                    <a:latin typeface="Calibri"/>
                  </a:rPr>
                  <a:t> R</a:t>
                </a:r>
                <a:r>
                  <a:rPr lang="de-DE" sz="1100"/>
                  <a:t> (')</a:t>
                </a:r>
              </a:p>
            </c:rich>
          </c:tx>
          <c:layout>
            <c:manualLayout>
              <c:xMode val="edge"/>
              <c:yMode val="edge"/>
              <c:x val="8.8450246650764758E-2"/>
              <c:y val="0.11031802332128923"/>
            </c:manualLayout>
          </c:layout>
          <c:overlay val="0"/>
          <c:spPr>
            <a:solidFill>
              <a:srgbClr val="FFFFFF"/>
            </a:solidFill>
          </c:spPr>
        </c:title>
        <c:numFmt formatCode="0.0" sourceLinked="0"/>
        <c:majorTickMark val="out"/>
        <c:minorTickMark val="out"/>
        <c:tickLblPos val="nextTo"/>
        <c:spPr>
          <a:ln w="19050">
            <a:tailEnd type="arrow"/>
          </a:ln>
        </c:spPr>
        <c:crossAx val="91216128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0</xdr:col>
      <xdr:colOff>0</xdr:colOff>
      <xdr:row>16</xdr:row>
      <xdr:rowOff>142875</xdr:rowOff>
    </xdr:to>
    <xdr:graphicFrame macro="">
      <xdr:nvGraphicFramePr>
        <xdr:cNvPr id="16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47625</xdr:rowOff>
    </xdr:from>
    <xdr:to>
      <xdr:col>0</xdr:col>
      <xdr:colOff>0</xdr:colOff>
      <xdr:row>36</xdr:row>
      <xdr:rowOff>19050</xdr:rowOff>
    </xdr:to>
    <xdr:grpSp>
      <xdr:nvGrpSpPr>
        <xdr:cNvPr id="1606" name="Group 15"/>
        <xdr:cNvGrpSpPr>
          <a:grpSpLocks/>
        </xdr:cNvGrpSpPr>
      </xdr:nvGrpSpPr>
      <xdr:grpSpPr bwMode="auto">
        <a:xfrm>
          <a:off x="0" y="2914650"/>
          <a:ext cx="0" cy="3057525"/>
          <a:chOff x="493" y="316"/>
          <a:chExt cx="435" cy="320"/>
        </a:xfrm>
      </xdr:grpSpPr>
      <xdr:graphicFrame macro="">
        <xdr:nvGraphicFramePr>
          <xdr:cNvPr id="1633" name="Chart 3"/>
          <xdr:cNvGraphicFramePr>
            <a:graphicFrameLocks/>
          </xdr:cNvGraphicFramePr>
        </xdr:nvGraphicFramePr>
        <xdr:xfrm>
          <a:off x="493" y="316"/>
          <a:ext cx="435" cy="3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0" y="-804142714809"/>
            <a:ext cx="0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1000" b="0" i="0" strike="noStrike">
                <a:solidFill>
                  <a:srgbClr val="000000"/>
                </a:solidFill>
                <a:latin typeface="Arial"/>
                <a:cs typeface="Arial"/>
              </a:rPr>
              <a:t>Erde</a:t>
            </a: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0" y="5889526479741"/>
            <a:ext cx="0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800" b="0" i="0" strike="noStrike">
                <a:solidFill>
                  <a:srgbClr val="000000"/>
                </a:solidFill>
                <a:latin typeface="Arial"/>
                <a:cs typeface="Arial"/>
              </a:rPr>
              <a:t>1.9.02</a:t>
            </a: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0" y="3981925435604"/>
            <a:ext cx="0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800" b="0" i="0" strike="noStrike">
                <a:solidFill>
                  <a:srgbClr val="000000"/>
                </a:solidFill>
                <a:latin typeface="Arial"/>
                <a:cs typeface="Arial"/>
              </a:rPr>
              <a:t>7.9.</a:t>
            </a:r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0" y="7995647140491"/>
            <a:ext cx="0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800" b="0" i="0" strike="noStrike">
                <a:solidFill>
                  <a:srgbClr val="000000"/>
                </a:solidFill>
                <a:latin typeface="Arial"/>
                <a:cs typeface="Arial"/>
              </a:rPr>
              <a:t>21.9.</a:t>
            </a:r>
          </a:p>
        </xdr:txBody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0" y="-18509181763322"/>
            <a:ext cx="0" cy="1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800" b="0" i="0" strike="noStrike">
                <a:solidFill>
                  <a:srgbClr val="000000"/>
                </a:solidFill>
                <a:latin typeface="Arial"/>
                <a:cs typeface="Arial"/>
              </a:rPr>
              <a:t>14.9.</a:t>
            </a:r>
          </a:p>
        </xdr:txBody>
      </xdr:sp>
    </xdr:grpSp>
    <xdr:clientData/>
  </xdr:twoCellAnchor>
  <xdr:twoCellAnchor>
    <xdr:from>
      <xdr:col>0</xdr:col>
      <xdr:colOff>85724</xdr:colOff>
      <xdr:row>45</xdr:row>
      <xdr:rowOff>114300</xdr:rowOff>
    </xdr:from>
    <xdr:to>
      <xdr:col>11</xdr:col>
      <xdr:colOff>400050</xdr:colOff>
      <xdr:row>64</xdr:row>
      <xdr:rowOff>95250</xdr:rowOff>
    </xdr:to>
    <xdr:grpSp>
      <xdr:nvGrpSpPr>
        <xdr:cNvPr id="50" name="Gruppieren 49"/>
        <xdr:cNvGrpSpPr/>
      </xdr:nvGrpSpPr>
      <xdr:grpSpPr>
        <a:xfrm>
          <a:off x="85724" y="7600950"/>
          <a:ext cx="5562601" cy="3067050"/>
          <a:chOff x="292731" y="7705725"/>
          <a:chExt cx="5067300" cy="2743200"/>
        </a:xfrm>
      </xdr:grpSpPr>
      <xdr:grpSp>
        <xdr:nvGrpSpPr>
          <xdr:cNvPr id="47" name="Gruppieren 46"/>
          <xdr:cNvGrpSpPr/>
        </xdr:nvGrpSpPr>
        <xdr:grpSpPr>
          <a:xfrm>
            <a:off x="292731" y="7705725"/>
            <a:ext cx="5067300" cy="2743200"/>
            <a:chOff x="2538087" y="1028700"/>
            <a:chExt cx="4572000" cy="2743200"/>
          </a:xfrm>
        </xdr:grpSpPr>
        <xdr:graphicFrame macro="">
          <xdr:nvGraphicFramePr>
            <xdr:cNvPr id="38" name="Diagramm 37"/>
            <xdr:cNvGraphicFramePr/>
          </xdr:nvGraphicFramePr>
          <xdr:xfrm>
            <a:off x="2538087" y="1028700"/>
            <a:ext cx="4572000" cy="27432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cxnSp macro="">
          <xdr:nvCxnSpPr>
            <xdr:cNvPr id="41" name="Gerade Verbindung 40"/>
            <xdr:cNvCxnSpPr/>
          </xdr:nvCxnSpPr>
          <xdr:spPr bwMode="auto">
            <a:xfrm rot="16200000" flipH="1">
              <a:off x="2657536" y="2915524"/>
              <a:ext cx="1196517" cy="5079"/>
            </a:xfrm>
            <a:prstGeom prst="line">
              <a:avLst/>
            </a:prstGeom>
            <a:ln w="19050">
              <a:solidFill>
                <a:schemeClr val="tx2"/>
              </a:solidFill>
              <a:prstDash val="dash"/>
              <a:headEnd type="none" w="med" len="med"/>
              <a:tailEnd type="none" w="med" len="med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5" name="Gerade Verbindung mit Pfeil 44"/>
            <xdr:cNvCxnSpPr/>
          </xdr:nvCxnSpPr>
          <xdr:spPr bwMode="auto">
            <a:xfrm>
              <a:off x="3250506" y="2376694"/>
              <a:ext cx="3632547" cy="6567"/>
            </a:xfrm>
            <a:prstGeom prst="straightConnector1">
              <a:avLst/>
            </a:prstGeom>
            <a:ln>
              <a:prstDash val="lgDash"/>
              <a:headEnd type="arrow"/>
              <a:tailEnd type="arrow"/>
            </a:ln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46" name="Textfeld 45"/>
            <xdr:cNvSpPr txBox="1"/>
          </xdr:nvSpPr>
          <xdr:spPr>
            <a:xfrm>
              <a:off x="4761458" y="2221394"/>
              <a:ext cx="681102" cy="528195"/>
            </a:xfrm>
            <a:prstGeom prst="rect">
              <a:avLst/>
            </a:prstGeom>
            <a:solidFill>
              <a:schemeClr val="lt1"/>
            </a:solidFill>
            <a:ln w="15875" cmpd="sng">
              <a:solidFill>
                <a:srgbClr val="C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tIns="0" rIns="0" bIns="0" rtlCol="0" anchor="ctr"/>
            <a:lstStyle/>
            <a:p>
              <a:pPr algn="ctr"/>
              <a:r>
                <a:rPr lang="de-DE" sz="1100"/>
                <a:t>Tropische</a:t>
              </a:r>
            </a:p>
            <a:p>
              <a:pPr algn="ctr"/>
              <a:r>
                <a:rPr lang="de-DE" sz="1100"/>
                <a:t>Umlaufzeit</a:t>
              </a:r>
            </a:p>
            <a:p>
              <a:pPr algn="ctr"/>
              <a:r>
                <a:rPr lang="de-DE" sz="1100"/>
                <a:t>27,3 d        </a:t>
              </a:r>
            </a:p>
          </xdr:txBody>
        </xdr:sp>
      </xdr:grpSp>
      <xdr:cxnSp macro="">
        <xdr:nvCxnSpPr>
          <xdr:cNvPr id="49" name="Gerade Verbindung 48"/>
          <xdr:cNvCxnSpPr/>
        </xdr:nvCxnSpPr>
        <xdr:spPr bwMode="auto">
          <a:xfrm rot="5400000">
            <a:off x="4449217" y="9538915"/>
            <a:ext cx="1296263" cy="12602"/>
          </a:xfrm>
          <a:prstGeom prst="line">
            <a:avLst/>
          </a:prstGeom>
          <a:solidFill>
            <a:srgbClr val="FFFFFF"/>
          </a:solidFill>
          <a:ln w="19050" cap="flat" cmpd="sng" algn="ctr">
            <a:solidFill>
              <a:schemeClr val="tx2"/>
            </a:solidFill>
            <a:prstDash val="dash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18</xdr:col>
      <xdr:colOff>247650</xdr:colOff>
      <xdr:row>1</xdr:row>
      <xdr:rowOff>114300</xdr:rowOff>
    </xdr:from>
    <xdr:to>
      <xdr:col>27</xdr:col>
      <xdr:colOff>390525</xdr:colOff>
      <xdr:row>37</xdr:row>
      <xdr:rowOff>85725</xdr:rowOff>
    </xdr:to>
    <xdr:grpSp>
      <xdr:nvGrpSpPr>
        <xdr:cNvPr id="73" name="Gruppieren 72"/>
        <xdr:cNvGrpSpPr/>
      </xdr:nvGrpSpPr>
      <xdr:grpSpPr>
        <a:xfrm>
          <a:off x="8905875" y="285750"/>
          <a:ext cx="4638675" cy="5924550"/>
          <a:chOff x="11896725" y="809626"/>
          <a:chExt cx="4562476" cy="4962524"/>
        </a:xfrm>
      </xdr:grpSpPr>
      <xdr:grpSp>
        <xdr:nvGrpSpPr>
          <xdr:cNvPr id="44" name="Gruppieren 43"/>
          <xdr:cNvGrpSpPr/>
        </xdr:nvGrpSpPr>
        <xdr:grpSpPr>
          <a:xfrm>
            <a:off x="11896725" y="809626"/>
            <a:ext cx="4562476" cy="4962524"/>
            <a:chOff x="11896725" y="809626"/>
            <a:chExt cx="4562476" cy="4962524"/>
          </a:xfrm>
        </xdr:grpSpPr>
        <xdr:graphicFrame macro="">
          <xdr:nvGraphicFramePr>
            <xdr:cNvPr id="39" name="Diagramm 38"/>
            <xdr:cNvGraphicFramePr/>
          </xdr:nvGraphicFramePr>
          <xdr:xfrm>
            <a:off x="11896725" y="809626"/>
            <a:ext cx="4562476" cy="496252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42" name="Textfeld 41"/>
            <xdr:cNvSpPr txBox="1"/>
          </xdr:nvSpPr>
          <xdr:spPr>
            <a:xfrm>
              <a:off x="13972196" y="2693669"/>
              <a:ext cx="333375" cy="18097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36000" tIns="0" rIns="0" bIns="0" rtlCol="0" anchor="t"/>
            <a:lstStyle/>
            <a:p>
              <a:r>
                <a:rPr lang="de-DE" sz="1100"/>
                <a:t>Erde</a:t>
              </a:r>
            </a:p>
          </xdr:txBody>
        </xdr:sp>
      </xdr:grpSp>
      <xdr:sp macro="" textlink="">
        <xdr:nvSpPr>
          <xdr:cNvPr id="72" name="Freihandform 71"/>
          <xdr:cNvSpPr>
            <a:spLocks noChangeAspect="1"/>
          </xdr:cNvSpPr>
        </xdr:nvSpPr>
        <xdr:spPr bwMode="auto">
          <a:xfrm>
            <a:off x="16057441" y="2883649"/>
            <a:ext cx="153995" cy="173006"/>
          </a:xfrm>
          <a:custGeom>
            <a:avLst/>
            <a:gdLst>
              <a:gd name="connsiteX0" fmla="*/ 0 w 257175"/>
              <a:gd name="connsiteY0" fmla="*/ 9525 h 288925"/>
              <a:gd name="connsiteX1" fmla="*/ 85725 w 257175"/>
              <a:gd name="connsiteY1" fmla="*/ 57150 h 288925"/>
              <a:gd name="connsiteX2" fmla="*/ 114300 w 257175"/>
              <a:gd name="connsiteY2" fmla="*/ 133350 h 288925"/>
              <a:gd name="connsiteX3" fmla="*/ 114300 w 257175"/>
              <a:gd name="connsiteY3" fmla="*/ 228600 h 288925"/>
              <a:gd name="connsiteX4" fmla="*/ 114300 w 257175"/>
              <a:gd name="connsiteY4" fmla="*/ 285750 h 288925"/>
              <a:gd name="connsiteX5" fmla="*/ 123825 w 257175"/>
              <a:gd name="connsiteY5" fmla="*/ 247650 h 288925"/>
              <a:gd name="connsiteX6" fmla="*/ 142875 w 257175"/>
              <a:gd name="connsiteY6" fmla="*/ 123825 h 288925"/>
              <a:gd name="connsiteX7" fmla="*/ 180975 w 257175"/>
              <a:gd name="connsiteY7" fmla="*/ 28575 h 288925"/>
              <a:gd name="connsiteX8" fmla="*/ 257175 w 257175"/>
              <a:gd name="connsiteY8" fmla="*/ 0 h 2889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57175" h="288925">
                <a:moveTo>
                  <a:pt x="0" y="9525"/>
                </a:moveTo>
                <a:cubicBezTo>
                  <a:pt x="33337" y="23019"/>
                  <a:pt x="66675" y="36513"/>
                  <a:pt x="85725" y="57150"/>
                </a:cubicBezTo>
                <a:cubicBezTo>
                  <a:pt x="104775" y="77787"/>
                  <a:pt x="109538" y="104775"/>
                  <a:pt x="114300" y="133350"/>
                </a:cubicBezTo>
                <a:cubicBezTo>
                  <a:pt x="119062" y="161925"/>
                  <a:pt x="114300" y="228600"/>
                  <a:pt x="114300" y="228600"/>
                </a:cubicBezTo>
                <a:cubicBezTo>
                  <a:pt x="114300" y="254000"/>
                  <a:pt x="112713" y="282575"/>
                  <a:pt x="114300" y="285750"/>
                </a:cubicBezTo>
                <a:cubicBezTo>
                  <a:pt x="115887" y="288925"/>
                  <a:pt x="119063" y="274637"/>
                  <a:pt x="123825" y="247650"/>
                </a:cubicBezTo>
                <a:cubicBezTo>
                  <a:pt x="128587" y="220663"/>
                  <a:pt x="133350" y="160337"/>
                  <a:pt x="142875" y="123825"/>
                </a:cubicBezTo>
                <a:cubicBezTo>
                  <a:pt x="152400" y="87313"/>
                  <a:pt x="161925" y="49212"/>
                  <a:pt x="180975" y="28575"/>
                </a:cubicBezTo>
                <a:cubicBezTo>
                  <a:pt x="200025" y="7938"/>
                  <a:pt x="228600" y="3969"/>
                  <a:pt x="257175" y="0"/>
                </a:cubicBezTo>
              </a:path>
            </a:pathLst>
          </a:custGeom>
          <a:solidFill>
            <a:srgbClr val="FFFFFF"/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de-DE" sz="1100"/>
          </a:p>
        </xdr:txBody>
      </xdr:sp>
    </xdr:grpSp>
    <xdr:clientData/>
  </xdr:twoCellAnchor>
  <xdr:twoCellAnchor>
    <xdr:from>
      <xdr:col>13</xdr:col>
      <xdr:colOff>76200</xdr:colOff>
      <xdr:row>48</xdr:row>
      <xdr:rowOff>38100</xdr:rowOff>
    </xdr:from>
    <xdr:to>
      <xdr:col>23</xdr:col>
      <xdr:colOff>409575</xdr:colOff>
      <xdr:row>65</xdr:row>
      <xdr:rowOff>28575</xdr:rowOff>
    </xdr:to>
    <xdr:grpSp>
      <xdr:nvGrpSpPr>
        <xdr:cNvPr id="36" name="Gruppieren 35"/>
        <xdr:cNvGrpSpPr/>
      </xdr:nvGrpSpPr>
      <xdr:grpSpPr>
        <a:xfrm>
          <a:off x="6448425" y="8020050"/>
          <a:ext cx="5048250" cy="2743200"/>
          <a:chOff x="5469757" y="6362435"/>
          <a:chExt cx="4286250" cy="2781300"/>
        </a:xfrm>
      </xdr:grpSpPr>
      <xdr:graphicFrame macro="">
        <xdr:nvGraphicFramePr>
          <xdr:cNvPr id="1617" name="Chart 16"/>
          <xdr:cNvGraphicFramePr>
            <a:graphicFrameLocks/>
          </xdr:cNvGraphicFramePr>
        </xdr:nvGraphicFramePr>
        <xdr:xfrm>
          <a:off x="5469757" y="6362435"/>
          <a:ext cx="4286250" cy="27813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37" name="Freihandform 36"/>
          <xdr:cNvSpPr>
            <a:spLocks noChangeAspect="1"/>
          </xdr:cNvSpPr>
        </xdr:nvSpPr>
        <xdr:spPr bwMode="auto">
          <a:xfrm>
            <a:off x="6971669" y="7792383"/>
            <a:ext cx="129538" cy="137160"/>
          </a:xfrm>
          <a:custGeom>
            <a:avLst/>
            <a:gdLst>
              <a:gd name="connsiteX0" fmla="*/ 134937 w 558800"/>
              <a:gd name="connsiteY0" fmla="*/ 476250 h 639763"/>
              <a:gd name="connsiteX1" fmla="*/ 58737 w 558800"/>
              <a:gd name="connsiteY1" fmla="*/ 476250 h 639763"/>
              <a:gd name="connsiteX2" fmla="*/ 20637 w 558800"/>
              <a:gd name="connsiteY2" fmla="*/ 561975 h 639763"/>
              <a:gd name="connsiteX3" fmla="*/ 68262 w 558800"/>
              <a:gd name="connsiteY3" fmla="*/ 628650 h 639763"/>
              <a:gd name="connsiteX4" fmla="*/ 163512 w 558800"/>
              <a:gd name="connsiteY4" fmla="*/ 628650 h 639763"/>
              <a:gd name="connsiteX5" fmla="*/ 249237 w 558800"/>
              <a:gd name="connsiteY5" fmla="*/ 571500 h 639763"/>
              <a:gd name="connsiteX6" fmla="*/ 249237 w 558800"/>
              <a:gd name="connsiteY6" fmla="*/ 476250 h 639763"/>
              <a:gd name="connsiteX7" fmla="*/ 211137 w 558800"/>
              <a:gd name="connsiteY7" fmla="*/ 409575 h 639763"/>
              <a:gd name="connsiteX8" fmla="*/ 144462 w 558800"/>
              <a:gd name="connsiteY8" fmla="*/ 390525 h 639763"/>
              <a:gd name="connsiteX9" fmla="*/ 68262 w 558800"/>
              <a:gd name="connsiteY9" fmla="*/ 371475 h 639763"/>
              <a:gd name="connsiteX10" fmla="*/ 20637 w 558800"/>
              <a:gd name="connsiteY10" fmla="*/ 304800 h 639763"/>
              <a:gd name="connsiteX11" fmla="*/ 1587 w 558800"/>
              <a:gd name="connsiteY11" fmla="*/ 190500 h 639763"/>
              <a:gd name="connsiteX12" fmla="*/ 20637 w 558800"/>
              <a:gd name="connsiteY12" fmla="*/ 104775 h 639763"/>
              <a:gd name="connsiteX13" fmla="*/ 125412 w 558800"/>
              <a:gd name="connsiteY13" fmla="*/ 19050 h 639763"/>
              <a:gd name="connsiteX14" fmla="*/ 296862 w 558800"/>
              <a:gd name="connsiteY14" fmla="*/ 0 h 639763"/>
              <a:gd name="connsiteX15" fmla="*/ 382587 w 558800"/>
              <a:gd name="connsiteY15" fmla="*/ 19050 h 639763"/>
              <a:gd name="connsiteX16" fmla="*/ 449262 w 558800"/>
              <a:gd name="connsiteY16" fmla="*/ 76200 h 639763"/>
              <a:gd name="connsiteX17" fmla="*/ 496887 w 558800"/>
              <a:gd name="connsiteY17" fmla="*/ 180975 h 639763"/>
              <a:gd name="connsiteX18" fmla="*/ 496887 w 558800"/>
              <a:gd name="connsiteY18" fmla="*/ 257175 h 639763"/>
              <a:gd name="connsiteX19" fmla="*/ 449262 w 558800"/>
              <a:gd name="connsiteY19" fmla="*/ 342900 h 639763"/>
              <a:gd name="connsiteX20" fmla="*/ 420687 w 558800"/>
              <a:gd name="connsiteY20" fmla="*/ 381000 h 639763"/>
              <a:gd name="connsiteX21" fmla="*/ 334962 w 558800"/>
              <a:gd name="connsiteY21" fmla="*/ 409575 h 639763"/>
              <a:gd name="connsiteX22" fmla="*/ 315912 w 558800"/>
              <a:gd name="connsiteY22" fmla="*/ 447675 h 639763"/>
              <a:gd name="connsiteX23" fmla="*/ 315912 w 558800"/>
              <a:gd name="connsiteY23" fmla="*/ 504825 h 639763"/>
              <a:gd name="connsiteX24" fmla="*/ 334962 w 558800"/>
              <a:gd name="connsiteY24" fmla="*/ 571500 h 639763"/>
              <a:gd name="connsiteX25" fmla="*/ 411162 w 558800"/>
              <a:gd name="connsiteY25" fmla="*/ 609600 h 639763"/>
              <a:gd name="connsiteX26" fmla="*/ 458787 w 558800"/>
              <a:gd name="connsiteY26" fmla="*/ 609600 h 639763"/>
              <a:gd name="connsiteX27" fmla="*/ 544512 w 558800"/>
              <a:gd name="connsiteY27" fmla="*/ 571500 h 639763"/>
              <a:gd name="connsiteX28" fmla="*/ 544512 w 558800"/>
              <a:gd name="connsiteY28" fmla="*/ 476250 h 6397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558800" h="639763">
                <a:moveTo>
                  <a:pt x="134937" y="476250"/>
                </a:moveTo>
                <a:cubicBezTo>
                  <a:pt x="106362" y="469106"/>
                  <a:pt x="77787" y="461963"/>
                  <a:pt x="58737" y="476250"/>
                </a:cubicBezTo>
                <a:cubicBezTo>
                  <a:pt x="39687" y="490538"/>
                  <a:pt x="19050" y="536575"/>
                  <a:pt x="20637" y="561975"/>
                </a:cubicBezTo>
                <a:cubicBezTo>
                  <a:pt x="22225" y="587375"/>
                  <a:pt x="44450" y="617538"/>
                  <a:pt x="68262" y="628650"/>
                </a:cubicBezTo>
                <a:cubicBezTo>
                  <a:pt x="92075" y="639763"/>
                  <a:pt x="133350" y="638175"/>
                  <a:pt x="163512" y="628650"/>
                </a:cubicBezTo>
                <a:cubicBezTo>
                  <a:pt x="193674" y="619125"/>
                  <a:pt x="234950" y="596900"/>
                  <a:pt x="249237" y="571500"/>
                </a:cubicBezTo>
                <a:cubicBezTo>
                  <a:pt x="263524" y="546100"/>
                  <a:pt x="255587" y="503237"/>
                  <a:pt x="249237" y="476250"/>
                </a:cubicBezTo>
                <a:cubicBezTo>
                  <a:pt x="242887" y="449263"/>
                  <a:pt x="228599" y="423862"/>
                  <a:pt x="211137" y="409575"/>
                </a:cubicBezTo>
                <a:cubicBezTo>
                  <a:pt x="193675" y="395288"/>
                  <a:pt x="168274" y="396875"/>
                  <a:pt x="144462" y="390525"/>
                </a:cubicBezTo>
                <a:cubicBezTo>
                  <a:pt x="120650" y="384175"/>
                  <a:pt x="88899" y="385762"/>
                  <a:pt x="68262" y="371475"/>
                </a:cubicBezTo>
                <a:cubicBezTo>
                  <a:pt x="47625" y="357188"/>
                  <a:pt x="31749" y="334962"/>
                  <a:pt x="20637" y="304800"/>
                </a:cubicBezTo>
                <a:cubicBezTo>
                  <a:pt x="9525" y="274638"/>
                  <a:pt x="1587" y="223837"/>
                  <a:pt x="1587" y="190500"/>
                </a:cubicBezTo>
                <a:cubicBezTo>
                  <a:pt x="1587" y="157163"/>
                  <a:pt x="0" y="133350"/>
                  <a:pt x="20637" y="104775"/>
                </a:cubicBezTo>
                <a:cubicBezTo>
                  <a:pt x="41274" y="76200"/>
                  <a:pt x="79375" y="36512"/>
                  <a:pt x="125412" y="19050"/>
                </a:cubicBezTo>
                <a:cubicBezTo>
                  <a:pt x="171449" y="1588"/>
                  <a:pt x="254000" y="0"/>
                  <a:pt x="296862" y="0"/>
                </a:cubicBezTo>
                <a:cubicBezTo>
                  <a:pt x="339724" y="0"/>
                  <a:pt x="357187" y="6350"/>
                  <a:pt x="382587" y="19050"/>
                </a:cubicBezTo>
                <a:cubicBezTo>
                  <a:pt x="407987" y="31750"/>
                  <a:pt x="430212" y="49213"/>
                  <a:pt x="449262" y="76200"/>
                </a:cubicBezTo>
                <a:cubicBezTo>
                  <a:pt x="468312" y="103187"/>
                  <a:pt x="488949" y="150812"/>
                  <a:pt x="496887" y="180975"/>
                </a:cubicBezTo>
                <a:cubicBezTo>
                  <a:pt x="504825" y="211138"/>
                  <a:pt x="504824" y="230188"/>
                  <a:pt x="496887" y="257175"/>
                </a:cubicBezTo>
                <a:cubicBezTo>
                  <a:pt x="488950" y="284162"/>
                  <a:pt x="461962" y="322263"/>
                  <a:pt x="449262" y="342900"/>
                </a:cubicBezTo>
                <a:cubicBezTo>
                  <a:pt x="436562" y="363537"/>
                  <a:pt x="439737" y="369888"/>
                  <a:pt x="420687" y="381000"/>
                </a:cubicBezTo>
                <a:cubicBezTo>
                  <a:pt x="401637" y="392112"/>
                  <a:pt x="352424" y="398463"/>
                  <a:pt x="334962" y="409575"/>
                </a:cubicBezTo>
                <a:cubicBezTo>
                  <a:pt x="317500" y="420687"/>
                  <a:pt x="319087" y="431800"/>
                  <a:pt x="315912" y="447675"/>
                </a:cubicBezTo>
                <a:cubicBezTo>
                  <a:pt x="312737" y="463550"/>
                  <a:pt x="312737" y="484188"/>
                  <a:pt x="315912" y="504825"/>
                </a:cubicBezTo>
                <a:cubicBezTo>
                  <a:pt x="319087" y="525463"/>
                  <a:pt x="319087" y="554038"/>
                  <a:pt x="334962" y="571500"/>
                </a:cubicBezTo>
                <a:cubicBezTo>
                  <a:pt x="350837" y="588962"/>
                  <a:pt x="390525" y="603250"/>
                  <a:pt x="411162" y="609600"/>
                </a:cubicBezTo>
                <a:cubicBezTo>
                  <a:pt x="431799" y="615950"/>
                  <a:pt x="436562" y="615950"/>
                  <a:pt x="458787" y="609600"/>
                </a:cubicBezTo>
                <a:cubicBezTo>
                  <a:pt x="481012" y="603250"/>
                  <a:pt x="530224" y="593725"/>
                  <a:pt x="544512" y="571500"/>
                </a:cubicBezTo>
                <a:cubicBezTo>
                  <a:pt x="558800" y="549275"/>
                  <a:pt x="551656" y="512762"/>
                  <a:pt x="544512" y="476250"/>
                </a:cubicBezTo>
              </a:path>
            </a:pathLst>
          </a:custGeom>
          <a:ln w="19050">
            <a:headEnd type="non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endParaRPr lang="de-DE" sz="1100">
              <a:ln>
                <a:solidFill>
                  <a:sysClr val="windowText" lastClr="000000"/>
                </a:solidFill>
              </a:ln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</xdr:col>
      <xdr:colOff>438150</xdr:colOff>
      <xdr:row>48</xdr:row>
      <xdr:rowOff>9525</xdr:rowOff>
    </xdr:from>
    <xdr:to>
      <xdr:col>1</xdr:col>
      <xdr:colOff>438150</xdr:colOff>
      <xdr:row>50</xdr:row>
      <xdr:rowOff>0</xdr:rowOff>
    </xdr:to>
    <xdr:cxnSp macro="">
      <xdr:nvCxnSpPr>
        <xdr:cNvPr id="4" name="Gerade Verbindung mit Pfeil 3"/>
        <xdr:cNvCxnSpPr/>
      </xdr:nvCxnSpPr>
      <xdr:spPr bwMode="auto">
        <a:xfrm flipV="1">
          <a:off x="638175" y="7972425"/>
          <a:ext cx="0" cy="3143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0.09603</cdr:x>
      <cdr:y>0.32945</cdr:y>
    </cdr:from>
    <cdr:to>
      <cdr:x>0.18778</cdr:x>
      <cdr:y>0.36394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27137" y="1951822"/>
          <a:ext cx="408120" cy="204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/>
        <a:p xmlns:a="http://schemas.openxmlformats.org/drawingml/2006/main">
          <a:r>
            <a:rPr lang="de-DE" sz="1100"/>
            <a:t>28.09.</a:t>
          </a:r>
        </a:p>
      </cdr:txBody>
    </cdr:sp>
  </cdr:relSizeAnchor>
  <cdr:relSizeAnchor xmlns:cdr="http://schemas.openxmlformats.org/drawingml/2006/chartDrawing">
    <cdr:from>
      <cdr:x>0.09128</cdr:x>
      <cdr:y>0.3607</cdr:y>
    </cdr:from>
    <cdr:to>
      <cdr:x>0.16697</cdr:x>
      <cdr:y>0.39063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406047" y="2136997"/>
          <a:ext cx="336682" cy="177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1100"/>
            <a:t>1.09.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0.76667</cdr:x>
      <cdr:y>0.52108</cdr:y>
    </cdr:from>
    <cdr:to>
      <cdr:x>0.79718</cdr:x>
      <cdr:y>0.57039</cdr:y>
    </cdr:to>
    <cdr:sp macro="" textlink="">
      <cdr:nvSpPr>
        <cdr:cNvPr id="4" name="Freihandform 3"/>
        <cdr:cNvSpPr/>
      </cdr:nvSpPr>
      <cdr:spPr bwMode="auto">
        <a:xfrm xmlns:a="http://schemas.openxmlformats.org/drawingml/2006/main" flipV="1">
          <a:off x="3373773" y="1429430"/>
          <a:ext cx="134270" cy="135272"/>
        </a:xfrm>
        <a:custGeom xmlns:a="http://schemas.openxmlformats.org/drawingml/2006/main">
          <a:avLst/>
          <a:gdLst>
            <a:gd name="connsiteX0" fmla="*/ 134937 w 558800"/>
            <a:gd name="connsiteY0" fmla="*/ 476250 h 639763"/>
            <a:gd name="connsiteX1" fmla="*/ 58737 w 558800"/>
            <a:gd name="connsiteY1" fmla="*/ 476250 h 639763"/>
            <a:gd name="connsiteX2" fmla="*/ 20637 w 558800"/>
            <a:gd name="connsiteY2" fmla="*/ 561975 h 639763"/>
            <a:gd name="connsiteX3" fmla="*/ 68262 w 558800"/>
            <a:gd name="connsiteY3" fmla="*/ 628650 h 639763"/>
            <a:gd name="connsiteX4" fmla="*/ 163512 w 558800"/>
            <a:gd name="connsiteY4" fmla="*/ 628650 h 639763"/>
            <a:gd name="connsiteX5" fmla="*/ 249237 w 558800"/>
            <a:gd name="connsiteY5" fmla="*/ 571500 h 639763"/>
            <a:gd name="connsiteX6" fmla="*/ 249237 w 558800"/>
            <a:gd name="connsiteY6" fmla="*/ 476250 h 639763"/>
            <a:gd name="connsiteX7" fmla="*/ 211137 w 558800"/>
            <a:gd name="connsiteY7" fmla="*/ 409575 h 639763"/>
            <a:gd name="connsiteX8" fmla="*/ 144462 w 558800"/>
            <a:gd name="connsiteY8" fmla="*/ 390525 h 639763"/>
            <a:gd name="connsiteX9" fmla="*/ 68262 w 558800"/>
            <a:gd name="connsiteY9" fmla="*/ 371475 h 639763"/>
            <a:gd name="connsiteX10" fmla="*/ 20637 w 558800"/>
            <a:gd name="connsiteY10" fmla="*/ 304800 h 639763"/>
            <a:gd name="connsiteX11" fmla="*/ 1587 w 558800"/>
            <a:gd name="connsiteY11" fmla="*/ 190500 h 639763"/>
            <a:gd name="connsiteX12" fmla="*/ 20637 w 558800"/>
            <a:gd name="connsiteY12" fmla="*/ 104775 h 639763"/>
            <a:gd name="connsiteX13" fmla="*/ 125412 w 558800"/>
            <a:gd name="connsiteY13" fmla="*/ 19050 h 639763"/>
            <a:gd name="connsiteX14" fmla="*/ 296862 w 558800"/>
            <a:gd name="connsiteY14" fmla="*/ 0 h 639763"/>
            <a:gd name="connsiteX15" fmla="*/ 382587 w 558800"/>
            <a:gd name="connsiteY15" fmla="*/ 19050 h 639763"/>
            <a:gd name="connsiteX16" fmla="*/ 449262 w 558800"/>
            <a:gd name="connsiteY16" fmla="*/ 76200 h 639763"/>
            <a:gd name="connsiteX17" fmla="*/ 496887 w 558800"/>
            <a:gd name="connsiteY17" fmla="*/ 180975 h 639763"/>
            <a:gd name="connsiteX18" fmla="*/ 496887 w 558800"/>
            <a:gd name="connsiteY18" fmla="*/ 257175 h 639763"/>
            <a:gd name="connsiteX19" fmla="*/ 449262 w 558800"/>
            <a:gd name="connsiteY19" fmla="*/ 342900 h 639763"/>
            <a:gd name="connsiteX20" fmla="*/ 420687 w 558800"/>
            <a:gd name="connsiteY20" fmla="*/ 381000 h 639763"/>
            <a:gd name="connsiteX21" fmla="*/ 334962 w 558800"/>
            <a:gd name="connsiteY21" fmla="*/ 409575 h 639763"/>
            <a:gd name="connsiteX22" fmla="*/ 315912 w 558800"/>
            <a:gd name="connsiteY22" fmla="*/ 447675 h 639763"/>
            <a:gd name="connsiteX23" fmla="*/ 315912 w 558800"/>
            <a:gd name="connsiteY23" fmla="*/ 504825 h 639763"/>
            <a:gd name="connsiteX24" fmla="*/ 334962 w 558800"/>
            <a:gd name="connsiteY24" fmla="*/ 571500 h 639763"/>
            <a:gd name="connsiteX25" fmla="*/ 411162 w 558800"/>
            <a:gd name="connsiteY25" fmla="*/ 609600 h 639763"/>
            <a:gd name="connsiteX26" fmla="*/ 458787 w 558800"/>
            <a:gd name="connsiteY26" fmla="*/ 609600 h 639763"/>
            <a:gd name="connsiteX27" fmla="*/ 544512 w 558800"/>
            <a:gd name="connsiteY27" fmla="*/ 571500 h 639763"/>
            <a:gd name="connsiteX28" fmla="*/ 544512 w 558800"/>
            <a:gd name="connsiteY28" fmla="*/ 476250 h 639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</a:cxnLst>
          <a:rect l="l" t="t" r="r" b="b"/>
          <a:pathLst>
            <a:path w="558800" h="639763">
              <a:moveTo>
                <a:pt x="134937" y="476250"/>
              </a:moveTo>
              <a:cubicBezTo>
                <a:pt x="106362" y="469106"/>
                <a:pt x="77787" y="461963"/>
                <a:pt x="58737" y="476250"/>
              </a:cubicBezTo>
              <a:cubicBezTo>
                <a:pt x="39687" y="490538"/>
                <a:pt x="19050" y="536575"/>
                <a:pt x="20637" y="561975"/>
              </a:cubicBezTo>
              <a:cubicBezTo>
                <a:pt x="22225" y="587375"/>
                <a:pt x="44450" y="617538"/>
                <a:pt x="68262" y="628650"/>
              </a:cubicBezTo>
              <a:cubicBezTo>
                <a:pt x="92075" y="639763"/>
                <a:pt x="133350" y="638175"/>
                <a:pt x="163512" y="628650"/>
              </a:cubicBezTo>
              <a:cubicBezTo>
                <a:pt x="193674" y="619125"/>
                <a:pt x="234950" y="596900"/>
                <a:pt x="249237" y="571500"/>
              </a:cubicBezTo>
              <a:cubicBezTo>
                <a:pt x="263524" y="546100"/>
                <a:pt x="255587" y="503237"/>
                <a:pt x="249237" y="476250"/>
              </a:cubicBezTo>
              <a:cubicBezTo>
                <a:pt x="242887" y="449263"/>
                <a:pt x="228599" y="423862"/>
                <a:pt x="211137" y="409575"/>
              </a:cubicBezTo>
              <a:cubicBezTo>
                <a:pt x="193675" y="395288"/>
                <a:pt x="168274" y="396875"/>
                <a:pt x="144462" y="390525"/>
              </a:cubicBezTo>
              <a:cubicBezTo>
                <a:pt x="120650" y="384175"/>
                <a:pt x="88899" y="385762"/>
                <a:pt x="68262" y="371475"/>
              </a:cubicBezTo>
              <a:cubicBezTo>
                <a:pt x="47625" y="357188"/>
                <a:pt x="31749" y="334962"/>
                <a:pt x="20637" y="304800"/>
              </a:cubicBezTo>
              <a:cubicBezTo>
                <a:pt x="9525" y="274638"/>
                <a:pt x="1587" y="223837"/>
                <a:pt x="1587" y="190500"/>
              </a:cubicBezTo>
              <a:cubicBezTo>
                <a:pt x="1587" y="157163"/>
                <a:pt x="0" y="133350"/>
                <a:pt x="20637" y="104775"/>
              </a:cubicBezTo>
              <a:cubicBezTo>
                <a:pt x="41274" y="76200"/>
                <a:pt x="79375" y="36512"/>
                <a:pt x="125412" y="19050"/>
              </a:cubicBezTo>
              <a:cubicBezTo>
                <a:pt x="171449" y="1588"/>
                <a:pt x="254000" y="0"/>
                <a:pt x="296862" y="0"/>
              </a:cubicBezTo>
              <a:cubicBezTo>
                <a:pt x="339724" y="0"/>
                <a:pt x="357187" y="6350"/>
                <a:pt x="382587" y="19050"/>
              </a:cubicBezTo>
              <a:cubicBezTo>
                <a:pt x="407987" y="31750"/>
                <a:pt x="430212" y="49213"/>
                <a:pt x="449262" y="76200"/>
              </a:cubicBezTo>
              <a:cubicBezTo>
                <a:pt x="468312" y="103187"/>
                <a:pt x="488949" y="150812"/>
                <a:pt x="496887" y="180975"/>
              </a:cubicBezTo>
              <a:cubicBezTo>
                <a:pt x="504825" y="211138"/>
                <a:pt x="504824" y="230188"/>
                <a:pt x="496887" y="257175"/>
              </a:cubicBezTo>
              <a:cubicBezTo>
                <a:pt x="488950" y="284162"/>
                <a:pt x="461962" y="322263"/>
                <a:pt x="449262" y="342900"/>
              </a:cubicBezTo>
              <a:cubicBezTo>
                <a:pt x="436562" y="363537"/>
                <a:pt x="439737" y="369888"/>
                <a:pt x="420687" y="381000"/>
              </a:cubicBezTo>
              <a:cubicBezTo>
                <a:pt x="401637" y="392112"/>
                <a:pt x="352424" y="398463"/>
                <a:pt x="334962" y="409575"/>
              </a:cubicBezTo>
              <a:cubicBezTo>
                <a:pt x="317500" y="420687"/>
                <a:pt x="319087" y="431800"/>
                <a:pt x="315912" y="447675"/>
              </a:cubicBezTo>
              <a:cubicBezTo>
                <a:pt x="312737" y="463550"/>
                <a:pt x="312737" y="484188"/>
                <a:pt x="315912" y="504825"/>
              </a:cubicBezTo>
              <a:cubicBezTo>
                <a:pt x="319087" y="525463"/>
                <a:pt x="319087" y="554038"/>
                <a:pt x="334962" y="571500"/>
              </a:cubicBezTo>
              <a:cubicBezTo>
                <a:pt x="350837" y="588962"/>
                <a:pt x="390525" y="603250"/>
                <a:pt x="411162" y="609600"/>
              </a:cubicBezTo>
              <a:cubicBezTo>
                <a:pt x="431799" y="615950"/>
                <a:pt x="436562" y="615950"/>
                <a:pt x="458787" y="609600"/>
              </a:cubicBezTo>
              <a:cubicBezTo>
                <a:pt x="481012" y="603250"/>
                <a:pt x="530224" y="593725"/>
                <a:pt x="544512" y="571500"/>
              </a:cubicBezTo>
              <a:cubicBezTo>
                <a:pt x="558800" y="549275"/>
                <a:pt x="551656" y="512762"/>
                <a:pt x="544512" y="476250"/>
              </a:cubicBezTo>
            </a:path>
          </a:pathLst>
        </a:custGeom>
        <a:noFill xmlns:a="http://schemas.openxmlformats.org/drawingml/2006/main"/>
        <a:ln xmlns:a="http://schemas.openxmlformats.org/drawingml/2006/main" w="1905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none" w="med" len="med"/>
          <a:tailEnd type="none" w="med" len="me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de-DE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542926</xdr:colOff>
      <xdr:row>9</xdr:row>
      <xdr:rowOff>152401</xdr:rowOff>
    </xdr:from>
    <xdr:to>
      <xdr:col>5</xdr:col>
      <xdr:colOff>114300</xdr:colOff>
      <xdr:row>17</xdr:row>
      <xdr:rowOff>161925</xdr:rowOff>
    </xdr:to>
    <xdr:cxnSp macro="">
      <xdr:nvCxnSpPr>
        <xdr:cNvPr id="23" name="Gerade Verbindung mit Pfeil 22"/>
        <xdr:cNvCxnSpPr/>
      </xdr:nvCxnSpPr>
      <xdr:spPr bwMode="auto">
        <a:xfrm rot="16200000" flipV="1">
          <a:off x="2309813" y="2147889"/>
          <a:ext cx="1352549" cy="371474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C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552450</xdr:colOff>
      <xdr:row>19</xdr:row>
      <xdr:rowOff>1</xdr:rowOff>
    </xdr:from>
    <xdr:to>
      <xdr:col>5</xdr:col>
      <xdr:colOff>104777</xdr:colOff>
      <xdr:row>23</xdr:row>
      <xdr:rowOff>1</xdr:rowOff>
    </xdr:to>
    <xdr:cxnSp macro="">
      <xdr:nvCxnSpPr>
        <xdr:cNvPr id="25" name="Gerade Verbindung mit Pfeil 24"/>
        <xdr:cNvCxnSpPr/>
      </xdr:nvCxnSpPr>
      <xdr:spPr bwMode="auto">
        <a:xfrm rot="5400000">
          <a:off x="2700339" y="3338512"/>
          <a:ext cx="647700" cy="352427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C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142879</xdr:colOff>
      <xdr:row>41</xdr:row>
      <xdr:rowOff>9526</xdr:rowOff>
    </xdr:from>
    <xdr:to>
      <xdr:col>5</xdr:col>
      <xdr:colOff>57150</xdr:colOff>
      <xdr:row>68</xdr:row>
      <xdr:rowOff>2</xdr:rowOff>
    </xdr:to>
    <xdr:grpSp>
      <xdr:nvGrpSpPr>
        <xdr:cNvPr id="50" name="Gruppieren 49"/>
        <xdr:cNvGrpSpPr/>
      </xdr:nvGrpSpPr>
      <xdr:grpSpPr>
        <a:xfrm>
          <a:off x="2438404" y="6677026"/>
          <a:ext cx="714371" cy="4381501"/>
          <a:chOff x="2400304" y="6810376"/>
          <a:chExt cx="714371" cy="4362451"/>
        </a:xfrm>
      </xdr:grpSpPr>
      <xdr:cxnSp macro="">
        <xdr:nvCxnSpPr>
          <xdr:cNvPr id="31" name="Gerade Verbindung mit Pfeil 30"/>
          <xdr:cNvCxnSpPr/>
        </xdr:nvCxnSpPr>
        <xdr:spPr bwMode="auto">
          <a:xfrm rot="16200000" flipV="1">
            <a:off x="2066927" y="9391654"/>
            <a:ext cx="1000126" cy="333371"/>
          </a:xfrm>
          <a:prstGeom prst="straightConnector1">
            <a:avLst/>
          </a:prstGeom>
          <a:solidFill>
            <a:srgbClr val="FFFFFF"/>
          </a:solidFill>
          <a:ln w="28575" cap="flat" cmpd="sng" algn="ctr">
            <a:solidFill>
              <a:srgbClr val="C00000"/>
            </a:solidFill>
            <a:prstDash val="solid"/>
            <a:round/>
            <a:headEnd type="none" w="med" len="med"/>
            <a:tailEnd type="arrow"/>
          </a:ln>
          <a:effectLst/>
        </xdr:spPr>
      </xdr:cxnSp>
      <xdr:cxnSp macro="">
        <xdr:nvCxnSpPr>
          <xdr:cNvPr id="33" name="Gerade Verbindung mit Pfeil 32"/>
          <xdr:cNvCxnSpPr/>
        </xdr:nvCxnSpPr>
        <xdr:spPr bwMode="auto">
          <a:xfrm rot="5400000">
            <a:off x="2505870" y="9696452"/>
            <a:ext cx="656432" cy="48421"/>
          </a:xfrm>
          <a:prstGeom prst="straightConnector1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round/>
            <a:headEnd type="none" w="med" len="med"/>
            <a:tailEnd type="arrow"/>
          </a:ln>
          <a:effectLst/>
        </xdr:spPr>
      </xdr:cxnSp>
      <xdr:cxnSp macro="">
        <xdr:nvCxnSpPr>
          <xdr:cNvPr id="42" name="Gerade Verbindung mit Pfeil 41"/>
          <xdr:cNvCxnSpPr/>
        </xdr:nvCxnSpPr>
        <xdr:spPr bwMode="auto">
          <a:xfrm rot="5400000">
            <a:off x="2466977" y="10772778"/>
            <a:ext cx="647699" cy="152399"/>
          </a:xfrm>
          <a:prstGeom prst="straightConnector1">
            <a:avLst/>
          </a:prstGeom>
          <a:solidFill>
            <a:srgbClr val="FFFFFF"/>
          </a:solidFill>
          <a:ln w="28575" cap="flat" cmpd="sng" algn="ctr">
            <a:solidFill>
              <a:srgbClr val="C00000"/>
            </a:solidFill>
            <a:prstDash val="solid"/>
            <a:round/>
            <a:headEnd type="none" w="med" len="med"/>
            <a:tailEnd type="arrow"/>
          </a:ln>
          <a:effectLst/>
        </xdr:spPr>
      </xdr:cxnSp>
      <xdr:cxnSp macro="">
        <xdr:nvCxnSpPr>
          <xdr:cNvPr id="43" name="Gerade Verbindung mit Pfeil 42"/>
          <xdr:cNvCxnSpPr/>
        </xdr:nvCxnSpPr>
        <xdr:spPr bwMode="auto">
          <a:xfrm rot="16200000" flipV="1">
            <a:off x="2128840" y="8272468"/>
            <a:ext cx="971547" cy="276224"/>
          </a:xfrm>
          <a:prstGeom prst="straightConnector1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round/>
            <a:headEnd type="none" w="med" len="med"/>
            <a:tailEnd type="arrow"/>
          </a:ln>
          <a:effectLst/>
        </xdr:spPr>
      </xdr:cxnSp>
      <xdr:cxnSp macro="">
        <xdr:nvCxnSpPr>
          <xdr:cNvPr id="45" name="Gerade Verbindung mit Pfeil 44"/>
          <xdr:cNvCxnSpPr/>
        </xdr:nvCxnSpPr>
        <xdr:spPr bwMode="auto">
          <a:xfrm rot="16200000" flipV="1">
            <a:off x="2309815" y="7300914"/>
            <a:ext cx="1285874" cy="304798"/>
          </a:xfrm>
          <a:prstGeom prst="straightConnector1">
            <a:avLst/>
          </a:prstGeom>
          <a:solidFill>
            <a:srgbClr val="FFFFFF"/>
          </a:solidFill>
          <a:ln w="28575" cap="flat" cmpd="sng" algn="ctr">
            <a:solidFill>
              <a:srgbClr val="C00000"/>
            </a:solidFill>
            <a:prstDash val="solid"/>
            <a:round/>
            <a:headEnd type="none" w="med" len="med"/>
            <a:tailEnd type="arrow"/>
          </a:ln>
          <a:effectLst/>
        </xdr:spPr>
      </xdr:cxnSp>
      <xdr:cxnSp macro="">
        <xdr:nvCxnSpPr>
          <xdr:cNvPr id="46" name="Gerade Verbindung mit Pfeil 45"/>
          <xdr:cNvCxnSpPr/>
        </xdr:nvCxnSpPr>
        <xdr:spPr bwMode="auto">
          <a:xfrm rot="5400000">
            <a:off x="2690812" y="8462967"/>
            <a:ext cx="619130" cy="228596"/>
          </a:xfrm>
          <a:prstGeom prst="straightConnector1">
            <a:avLst/>
          </a:prstGeom>
          <a:solidFill>
            <a:srgbClr val="FFFFFF"/>
          </a:solidFill>
          <a:ln w="28575" cap="flat" cmpd="sng" algn="ctr">
            <a:solidFill>
              <a:srgbClr val="C00000"/>
            </a:solidFill>
            <a:prstDash val="solid"/>
            <a:round/>
            <a:headEnd type="none" w="med" len="med"/>
            <a:tailEnd type="arrow"/>
          </a:ln>
          <a:effectLst/>
        </xdr:spPr>
      </xdr:cxnSp>
      <xdr:cxnSp macro="">
        <xdr:nvCxnSpPr>
          <xdr:cNvPr id="29" name="Gerade Verbindung 28"/>
          <xdr:cNvCxnSpPr/>
        </xdr:nvCxnSpPr>
        <xdr:spPr bwMode="auto">
          <a:xfrm rot="16200000" flipH="1">
            <a:off x="2752725" y="9144000"/>
            <a:ext cx="152400" cy="38100"/>
          </a:xfrm>
          <a:prstGeom prst="line">
            <a:avLst/>
          </a:prstGeom>
          <a:solidFill>
            <a:srgbClr val="FFFFFF"/>
          </a:solidFill>
          <a:ln w="2857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49" name="Gerade Verbindung 48"/>
          <xdr:cNvCxnSpPr/>
        </xdr:nvCxnSpPr>
        <xdr:spPr bwMode="auto">
          <a:xfrm rot="16200000" flipH="1">
            <a:off x="2728912" y="10263187"/>
            <a:ext cx="171450" cy="66675"/>
          </a:xfrm>
          <a:prstGeom prst="line">
            <a:avLst/>
          </a:prstGeom>
          <a:solidFill>
            <a:srgbClr val="FFFFFF"/>
          </a:solidFill>
          <a:ln w="28575" cap="flat" cmpd="sng" algn="ctr">
            <a:solidFill>
              <a:srgbClr val="C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6</xdr:col>
      <xdr:colOff>247651</xdr:colOff>
      <xdr:row>2</xdr:row>
      <xdr:rowOff>0</xdr:rowOff>
    </xdr:from>
    <xdr:to>
      <xdr:col>13</xdr:col>
      <xdr:colOff>695326</xdr:colOff>
      <xdr:row>22</xdr:row>
      <xdr:rowOff>104775</xdr:rowOff>
    </xdr:to>
    <xdr:grpSp>
      <xdr:nvGrpSpPr>
        <xdr:cNvPr id="39" name="Gruppieren 38"/>
        <xdr:cNvGrpSpPr/>
      </xdr:nvGrpSpPr>
      <xdr:grpSpPr>
        <a:xfrm>
          <a:off x="3676651" y="333375"/>
          <a:ext cx="6096000" cy="3343275"/>
          <a:chOff x="4585207" y="4988409"/>
          <a:chExt cx="5172075" cy="3009901"/>
        </a:xfrm>
      </xdr:grpSpPr>
      <xdr:graphicFrame macro="">
        <xdr:nvGraphicFramePr>
          <xdr:cNvPr id="34" name="Diagramm 33"/>
          <xdr:cNvGraphicFramePr/>
        </xdr:nvGraphicFramePr>
        <xdr:xfrm>
          <a:off x="4585207" y="4988409"/>
          <a:ext cx="5172075" cy="30099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35" name="Gerade Verbindung mit Pfeil 34"/>
          <xdr:cNvCxnSpPr/>
        </xdr:nvCxnSpPr>
        <xdr:spPr bwMode="auto">
          <a:xfrm>
            <a:off x="5759185" y="6105658"/>
            <a:ext cx="2700973" cy="1390"/>
          </a:xfrm>
          <a:prstGeom prst="straightConnector1">
            <a:avLst/>
          </a:prstGeom>
          <a:ln w="19050">
            <a:headEnd type="arrow"/>
            <a:tailEnd type="arrow"/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36" name="Textfeld 35"/>
          <xdr:cNvSpPr txBox="1"/>
        </xdr:nvSpPr>
        <xdr:spPr>
          <a:xfrm>
            <a:off x="6843687" y="6007399"/>
            <a:ext cx="524587" cy="219075"/>
          </a:xfrm>
          <a:prstGeom prst="rect">
            <a:avLst/>
          </a:prstGeom>
          <a:solidFill>
            <a:schemeClr val="lt1"/>
          </a:solidFill>
          <a:ln w="19050" cmpd="sng">
            <a:solidFill>
              <a:srgbClr val="C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de-DE" sz="1100"/>
              <a:t>413,3 </a:t>
            </a:r>
            <a:r>
              <a:rPr lang="de-DE" sz="1100" i="0"/>
              <a:t>d</a:t>
            </a:r>
          </a:p>
        </xdr:txBody>
      </xdr:sp>
    </xdr:grpSp>
    <xdr:clientData/>
  </xdr:twoCellAnchor>
  <xdr:twoCellAnchor>
    <xdr:from>
      <xdr:col>6</xdr:col>
      <xdr:colOff>400048</xdr:colOff>
      <xdr:row>28</xdr:row>
      <xdr:rowOff>47625</xdr:rowOff>
    </xdr:from>
    <xdr:to>
      <xdr:col>15</xdr:col>
      <xdr:colOff>76200</xdr:colOff>
      <xdr:row>49</xdr:row>
      <xdr:rowOff>28575</xdr:rowOff>
    </xdr:to>
    <xdr:grpSp>
      <xdr:nvGrpSpPr>
        <xdr:cNvPr id="19" name="Gruppieren 18"/>
        <xdr:cNvGrpSpPr/>
      </xdr:nvGrpSpPr>
      <xdr:grpSpPr>
        <a:xfrm>
          <a:off x="3829048" y="4591050"/>
          <a:ext cx="6848477" cy="3400425"/>
          <a:chOff x="4610100" y="4943475"/>
          <a:chExt cx="5162550" cy="2733675"/>
        </a:xfrm>
      </xdr:grpSpPr>
      <xdr:grpSp>
        <xdr:nvGrpSpPr>
          <xdr:cNvPr id="22" name="Gruppieren 21"/>
          <xdr:cNvGrpSpPr/>
        </xdr:nvGrpSpPr>
        <xdr:grpSpPr>
          <a:xfrm>
            <a:off x="4610100" y="4943475"/>
            <a:ext cx="5162550" cy="2733675"/>
            <a:chOff x="4829175" y="5038725"/>
            <a:chExt cx="5162550" cy="2743200"/>
          </a:xfrm>
        </xdr:grpSpPr>
        <xdr:grpSp>
          <xdr:nvGrpSpPr>
            <xdr:cNvPr id="10" name="Gruppieren 9"/>
            <xdr:cNvGrpSpPr/>
          </xdr:nvGrpSpPr>
          <xdr:grpSpPr>
            <a:xfrm>
              <a:off x="4829175" y="5038725"/>
              <a:ext cx="5162550" cy="2743200"/>
              <a:chOff x="4360552" y="4991100"/>
              <a:chExt cx="4572000" cy="2743200"/>
            </a:xfrm>
          </xdr:grpSpPr>
          <xdr:graphicFrame macro="">
            <xdr:nvGraphicFramePr>
              <xdr:cNvPr id="17" name="Diagramm 16"/>
              <xdr:cNvGraphicFramePr/>
            </xdr:nvGraphicFramePr>
            <xdr:xfrm>
              <a:off x="4360552" y="4991100"/>
              <a:ext cx="4572000" cy="27432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cxnSp macro="">
            <xdr:nvCxnSpPr>
              <xdr:cNvPr id="20" name="Gerade Verbindung mit Pfeil 19"/>
              <xdr:cNvCxnSpPr/>
            </xdr:nvCxnSpPr>
            <xdr:spPr bwMode="auto">
              <a:xfrm flipV="1">
                <a:off x="4905214" y="6979920"/>
                <a:ext cx="1883608" cy="13385"/>
              </a:xfrm>
              <a:prstGeom prst="straightConnector1">
                <a:avLst/>
              </a:prstGeom>
              <a:ln w="19050">
                <a:headEnd type="arrow"/>
                <a:tailEnd type="arrow"/>
              </a:ln>
            </xdr:spPr>
            <xdr:style>
              <a:lnRef idx="2">
                <a:schemeClr val="accent2"/>
              </a:lnRef>
              <a:fillRef idx="0">
                <a:schemeClr val="accent2"/>
              </a:fillRef>
              <a:effectRef idx="1">
                <a:schemeClr val="accent2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1" name="Textfeld 20"/>
              <xdr:cNvSpPr txBox="1"/>
            </xdr:nvSpPr>
            <xdr:spPr>
              <a:xfrm>
                <a:off x="5716218" y="6914091"/>
                <a:ext cx="437023" cy="187749"/>
              </a:xfrm>
              <a:prstGeom prst="rect">
                <a:avLst/>
              </a:prstGeom>
              <a:solidFill>
                <a:schemeClr val="lt1"/>
              </a:solidFill>
              <a:ln w="15875" cmpd="sng">
                <a:solidFill>
                  <a:schemeClr val="accent2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r>
                  <a:rPr lang="de-DE" sz="1100" i="0"/>
                  <a:t>413,4  d</a:t>
                </a:r>
              </a:p>
            </xdr:txBody>
          </xdr:sp>
        </xdr:grpSp>
        <xdr:cxnSp macro="">
          <xdr:nvCxnSpPr>
            <xdr:cNvPr id="15" name="Gerade Verbindung mit Pfeil 14"/>
            <xdr:cNvCxnSpPr/>
          </xdr:nvCxnSpPr>
          <xdr:spPr bwMode="auto">
            <a:xfrm rot="10800000" flipV="1">
              <a:off x="6492492" y="5991225"/>
              <a:ext cx="2108476" cy="7621"/>
            </a:xfrm>
            <a:prstGeom prst="straightConnector1">
              <a:avLst/>
            </a:prstGeom>
            <a:ln w="19050">
              <a:headEnd type="arrow" w="med" len="med"/>
              <a:tailEnd type="arrow" w="med" len="med"/>
            </a:ln>
          </xdr:spPr>
          <xdr:style>
            <a:lnRef idx="2">
              <a:schemeClr val="accent2"/>
            </a:lnRef>
            <a:fillRef idx="0">
              <a:schemeClr val="accent2"/>
            </a:fillRef>
            <a:effectRef idx="1">
              <a:schemeClr val="accent2"/>
            </a:effectRef>
            <a:fontRef idx="minor">
              <a:schemeClr val="tx1"/>
            </a:fontRef>
          </xdr:style>
        </xdr:cxnSp>
      </xdr:grpSp>
      <xdr:cxnSp macro="">
        <xdr:nvCxnSpPr>
          <xdr:cNvPr id="14" name="Gerade Verbindung mit Pfeil 13"/>
          <xdr:cNvCxnSpPr/>
        </xdr:nvCxnSpPr>
        <xdr:spPr bwMode="auto">
          <a:xfrm flipV="1">
            <a:off x="7301052" y="6720364"/>
            <a:ext cx="2127126" cy="7594"/>
          </a:xfrm>
          <a:prstGeom prst="straightConnector1">
            <a:avLst/>
          </a:prstGeom>
          <a:ln w="19050">
            <a:headEnd type="arrow"/>
            <a:tailEnd type="arrow"/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16" name="Textfeld 15"/>
          <xdr:cNvSpPr txBox="1"/>
        </xdr:nvSpPr>
        <xdr:spPr>
          <a:xfrm>
            <a:off x="8153728" y="6659615"/>
            <a:ext cx="432046" cy="161234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accent2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ctr"/>
          <a:lstStyle/>
          <a:p>
            <a:r>
              <a:rPr lang="de-DE" sz="1100" i="0"/>
              <a:t>   413,3 d</a:t>
            </a:r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0.48519</cdr:x>
      <cdr:y>0.27778</cdr:y>
    </cdr:from>
    <cdr:to>
      <cdr:x>0.56982</cdr:x>
      <cdr:y>0.34994</cdr:y>
    </cdr:to>
    <cdr:sp macro="" textlink="">
      <cdr:nvSpPr>
        <cdr:cNvPr id="5" name="Textfeld 20"/>
        <cdr:cNvSpPr txBox="1"/>
      </cdr:nvSpPr>
      <cdr:spPr>
        <a:xfrm xmlns:a="http://schemas.openxmlformats.org/drawingml/2006/main">
          <a:off x="3276603" y="952500"/>
          <a:ext cx="571516" cy="2474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5875" cmpd="sng">
          <a:solidFill>
            <a:srgbClr val="C00000"/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de-DE" sz="1100" i="0"/>
            <a:t>   413,6 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10</xdr:row>
      <xdr:rowOff>0</xdr:rowOff>
    </xdr:from>
    <xdr:to>
      <xdr:col>17</xdr:col>
      <xdr:colOff>457200</xdr:colOff>
      <xdr:row>33</xdr:row>
      <xdr:rowOff>28576</xdr:rowOff>
    </xdr:to>
    <xdr:grpSp>
      <xdr:nvGrpSpPr>
        <xdr:cNvPr id="22" name="Gruppieren 21"/>
        <xdr:cNvGrpSpPr/>
      </xdr:nvGrpSpPr>
      <xdr:grpSpPr>
        <a:xfrm>
          <a:off x="3209925" y="1647825"/>
          <a:ext cx="5848350" cy="3771901"/>
          <a:chOff x="2409825" y="19573875"/>
          <a:chExt cx="5362576" cy="4086226"/>
        </a:xfrm>
      </xdr:grpSpPr>
      <xdr:grpSp>
        <xdr:nvGrpSpPr>
          <xdr:cNvPr id="8" name="Gruppieren 7"/>
          <xdr:cNvGrpSpPr/>
        </xdr:nvGrpSpPr>
        <xdr:grpSpPr>
          <a:xfrm>
            <a:off x="2409825" y="19573875"/>
            <a:ext cx="5362576" cy="4086226"/>
            <a:chOff x="1664320" y="22345184"/>
            <a:chExt cx="6343651" cy="3114675"/>
          </a:xfrm>
        </xdr:grpSpPr>
        <xdr:graphicFrame macro="">
          <xdr:nvGraphicFramePr>
            <xdr:cNvPr id="9" name="Diagramm 8"/>
            <xdr:cNvGraphicFramePr/>
          </xdr:nvGraphicFramePr>
          <xdr:xfrm>
            <a:off x="1664320" y="22345184"/>
            <a:ext cx="6343651" cy="31146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cxnSp macro="">
          <xdr:nvCxnSpPr>
            <xdr:cNvPr id="10" name="Gerade Verbindung mit Pfeil 9"/>
            <xdr:cNvCxnSpPr/>
          </xdr:nvCxnSpPr>
          <xdr:spPr bwMode="auto">
            <a:xfrm>
              <a:off x="2707820" y="24726567"/>
              <a:ext cx="4463285" cy="1210"/>
            </a:xfrm>
            <a:prstGeom prst="straightConnector1">
              <a:avLst/>
            </a:prstGeom>
            <a:solidFill>
              <a:srgbClr val="FFFFFF"/>
            </a:solidFill>
            <a:ln w="19050" cap="flat" cmpd="sng" algn="ctr">
              <a:solidFill>
                <a:srgbClr val="C00000"/>
              </a:solidFill>
              <a:prstDash val="solid"/>
              <a:round/>
              <a:headEnd type="arrow" w="med" len="med"/>
              <a:tailEnd type="arrow"/>
            </a:ln>
            <a:effectLst/>
          </xdr:spPr>
        </xdr:cxnSp>
        <xdr:sp macro="" textlink="">
          <xdr:nvSpPr>
            <xdr:cNvPr id="11" name="Textfeld 10"/>
            <xdr:cNvSpPr txBox="1"/>
          </xdr:nvSpPr>
          <xdr:spPr>
            <a:xfrm>
              <a:off x="4446074" y="24507502"/>
              <a:ext cx="1144284" cy="351279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rgbClr val="C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36000" tIns="0" rIns="0" bIns="0" rtlCol="0" anchor="ctr"/>
            <a:lstStyle/>
            <a:p>
              <a:pPr algn="ctr"/>
              <a:r>
                <a:rPr lang="de-DE" sz="1100"/>
                <a:t>Anomalistische   Umlaufzeit</a:t>
              </a:r>
            </a:p>
          </xdr:txBody>
        </xdr:sp>
      </xdr:grpSp>
      <xdr:cxnSp macro="">
        <xdr:nvCxnSpPr>
          <xdr:cNvPr id="13" name="Gerade Verbindung 12"/>
          <xdr:cNvCxnSpPr/>
        </xdr:nvCxnSpPr>
        <xdr:spPr bwMode="auto">
          <a:xfrm rot="5400000">
            <a:off x="2840690" y="22960021"/>
            <a:ext cx="904875" cy="1588"/>
          </a:xfrm>
          <a:prstGeom prst="line">
            <a:avLst/>
          </a:prstGeom>
          <a:solidFill>
            <a:srgbClr val="FFFFFF"/>
          </a:solidFill>
          <a:ln w="19050" cap="flat" cmpd="sng" algn="ctr">
            <a:solidFill>
              <a:srgbClr val="C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4" name="Gerade Verbindung 13"/>
          <xdr:cNvCxnSpPr/>
        </xdr:nvCxnSpPr>
        <xdr:spPr bwMode="auto">
          <a:xfrm rot="5400000">
            <a:off x="6591903" y="22949704"/>
            <a:ext cx="904875" cy="1588"/>
          </a:xfrm>
          <a:prstGeom prst="line">
            <a:avLst/>
          </a:prstGeom>
          <a:solidFill>
            <a:srgbClr val="FFFFFF"/>
          </a:solidFill>
          <a:ln w="19050" cap="flat" cmpd="sng" algn="ctr">
            <a:solidFill>
              <a:srgbClr val="C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stronomie%20und%20Tabellenkalkulation\Mondbah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Tabelle4"/>
      <sheetName val="Tabelle5"/>
      <sheetName val="Tabelle6"/>
      <sheetName val="Tabelle7"/>
      <sheetName val="Tabelle8"/>
      <sheetName val="Tabelle9"/>
    </sheetNames>
    <sheetDataSet>
      <sheetData sheetId="0">
        <row r="6">
          <cell r="D6">
            <v>66.239999999999995</v>
          </cell>
          <cell r="E6">
            <v>-0.67</v>
          </cell>
          <cell r="F6">
            <v>395.9</v>
          </cell>
        </row>
        <row r="7">
          <cell r="D7">
            <v>78.69</v>
          </cell>
          <cell r="E7">
            <v>0.43</v>
          </cell>
          <cell r="F7">
            <v>390.8</v>
          </cell>
        </row>
        <row r="8">
          <cell r="D8">
            <v>91.5</v>
          </cell>
          <cell r="E8">
            <v>1.53</v>
          </cell>
          <cell r="F8">
            <v>385</v>
          </cell>
        </row>
        <row r="9">
          <cell r="D9">
            <v>104.75</v>
          </cell>
          <cell r="E9">
            <v>2.59</v>
          </cell>
          <cell r="F9">
            <v>378.9</v>
          </cell>
        </row>
        <row r="10">
          <cell r="D10">
            <v>118.48</v>
          </cell>
          <cell r="E10">
            <v>3.54</v>
          </cell>
          <cell r="F10">
            <v>372.8</v>
          </cell>
        </row>
        <row r="11">
          <cell r="D11">
            <v>132.69999999999999</v>
          </cell>
          <cell r="E11">
            <v>4.3</v>
          </cell>
          <cell r="F11">
            <v>367.3</v>
          </cell>
        </row>
        <row r="12">
          <cell r="D12">
            <v>147.36000000000001</v>
          </cell>
          <cell r="E12">
            <v>4.8099999999999996</v>
          </cell>
          <cell r="F12">
            <v>362.9</v>
          </cell>
        </row>
        <row r="13">
          <cell r="D13">
            <v>162.35</v>
          </cell>
          <cell r="E13">
            <v>5</v>
          </cell>
          <cell r="F13">
            <v>359.9</v>
          </cell>
        </row>
        <row r="14">
          <cell r="D14">
            <v>177.51</v>
          </cell>
          <cell r="E14">
            <v>4.8499999999999996</v>
          </cell>
          <cell r="F14">
            <v>358.8</v>
          </cell>
        </row>
        <row r="15">
          <cell r="D15">
            <v>192.67</v>
          </cell>
          <cell r="E15">
            <v>4.3499999999999996</v>
          </cell>
          <cell r="F15">
            <v>359.4</v>
          </cell>
        </row>
        <row r="16">
          <cell r="D16">
            <v>207.65</v>
          </cell>
          <cell r="E16">
            <v>3.56</v>
          </cell>
          <cell r="F16">
            <v>361.7</v>
          </cell>
        </row>
        <row r="17">
          <cell r="D17">
            <v>222.34</v>
          </cell>
          <cell r="E17">
            <v>2.54</v>
          </cell>
          <cell r="F17">
            <v>365.4</v>
          </cell>
        </row>
        <row r="18">
          <cell r="D18">
            <v>236.64</v>
          </cell>
          <cell r="E18">
            <v>1.39</v>
          </cell>
          <cell r="F18">
            <v>370.1</v>
          </cell>
        </row>
        <row r="19">
          <cell r="D19">
            <v>250.54</v>
          </cell>
          <cell r="E19">
            <v>0.18</v>
          </cell>
          <cell r="F19">
            <v>375.2</v>
          </cell>
        </row>
        <row r="20">
          <cell r="D20">
            <v>264.05</v>
          </cell>
          <cell r="E20">
            <v>-1</v>
          </cell>
          <cell r="F20">
            <v>380.5</v>
          </cell>
        </row>
        <row r="21">
          <cell r="D21">
            <v>277.2</v>
          </cell>
          <cell r="E21">
            <v>-2.1</v>
          </cell>
          <cell r="F21">
            <v>385.6</v>
          </cell>
        </row>
        <row r="22">
          <cell r="D22">
            <v>290.06</v>
          </cell>
          <cell r="E22">
            <v>-3.07</v>
          </cell>
          <cell r="F22">
            <v>390.2</v>
          </cell>
        </row>
        <row r="23">
          <cell r="D23">
            <v>302.66000000000003</v>
          </cell>
          <cell r="E23">
            <v>-3.86</v>
          </cell>
          <cell r="F23">
            <v>394.4</v>
          </cell>
        </row>
        <row r="24">
          <cell r="D24">
            <v>315.07</v>
          </cell>
          <cell r="E24">
            <v>-4.46</v>
          </cell>
          <cell r="F24">
            <v>397.9</v>
          </cell>
        </row>
        <row r="25">
          <cell r="D25">
            <v>327.32</v>
          </cell>
          <cell r="E25">
            <v>-4.84</v>
          </cell>
          <cell r="F25">
            <v>400.8</v>
          </cell>
        </row>
        <row r="26">
          <cell r="D26">
            <v>339.44</v>
          </cell>
          <cell r="E26">
            <v>-5</v>
          </cell>
          <cell r="F26">
            <v>403.1</v>
          </cell>
        </row>
        <row r="27">
          <cell r="D27">
            <v>351.45</v>
          </cell>
          <cell r="E27">
            <v>-4.9400000000000004</v>
          </cell>
          <cell r="F27">
            <v>404.8</v>
          </cell>
        </row>
        <row r="28">
          <cell r="D28">
            <v>363.39</v>
          </cell>
          <cell r="E28">
            <v>-4.66</v>
          </cell>
          <cell r="F28">
            <v>405.9</v>
          </cell>
        </row>
        <row r="29">
          <cell r="D29">
            <v>375.26</v>
          </cell>
          <cell r="E29">
            <v>-4.17</v>
          </cell>
          <cell r="F29">
            <v>406.3</v>
          </cell>
        </row>
        <row r="30">
          <cell r="D30">
            <v>387.09</v>
          </cell>
          <cell r="E30">
            <v>-3.51</v>
          </cell>
          <cell r="F30">
            <v>406.1</v>
          </cell>
        </row>
        <row r="31">
          <cell r="D31">
            <v>398.93</v>
          </cell>
          <cell r="E31">
            <v>-2.69</v>
          </cell>
          <cell r="F31">
            <v>405</v>
          </cell>
        </row>
        <row r="32">
          <cell r="D32">
            <v>410.81</v>
          </cell>
          <cell r="E32">
            <v>-1.75</v>
          </cell>
          <cell r="F32">
            <v>403.1</v>
          </cell>
        </row>
        <row r="33">
          <cell r="D33">
            <v>422.79</v>
          </cell>
          <cell r="E33">
            <v>-0.72</v>
          </cell>
          <cell r="F33">
            <v>400.2</v>
          </cell>
        </row>
        <row r="34">
          <cell r="D34">
            <v>434.95</v>
          </cell>
          <cell r="E34">
            <v>0.36</v>
          </cell>
        </row>
        <row r="35">
          <cell r="D35">
            <v>447.37</v>
          </cell>
          <cell r="E35">
            <v>1.44</v>
          </cell>
        </row>
        <row r="36">
          <cell r="D36">
            <v>460.11</v>
          </cell>
          <cell r="E36">
            <v>2.48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A174"/>
  <sheetViews>
    <sheetView tabSelected="1" topLeftCell="G28" zoomScaleSheetLayoutView="100" workbookViewId="0">
      <selection activeCell="P2" sqref="P2"/>
    </sheetView>
  </sheetViews>
  <sheetFormatPr baseColWidth="10" defaultRowHeight="12.75" x14ac:dyDescent="0.2"/>
  <cols>
    <col min="1" max="1" width="3" bestFit="1" customWidth="1"/>
    <col min="2" max="2" width="7.28515625" customWidth="1"/>
    <col min="3" max="3" width="6.5703125" customWidth="1"/>
    <col min="4" max="4" width="6.85546875" customWidth="1"/>
    <col min="5" max="5" width="5.85546875" customWidth="1"/>
    <col min="6" max="6" width="7.5703125" customWidth="1"/>
    <col min="7" max="8" width="7.28515625" customWidth="1"/>
    <col min="9" max="9" width="10" customWidth="1"/>
    <col min="10" max="10" width="9" customWidth="1"/>
    <col min="11" max="12" width="8" customWidth="1"/>
    <col min="13" max="13" width="8.85546875" customWidth="1"/>
    <col min="14" max="14" width="6.5703125" customWidth="1"/>
    <col min="15" max="16" width="6.140625" customWidth="1"/>
    <col min="17" max="18" width="7.7109375" customWidth="1"/>
    <col min="19" max="19" width="6.140625" customWidth="1"/>
    <col min="20" max="20" width="11.5703125" customWidth="1"/>
    <col min="21" max="22" width="6.5703125" customWidth="1"/>
    <col min="23" max="23" width="5.5703125" customWidth="1"/>
    <col min="24" max="24" width="6.140625" customWidth="1"/>
    <col min="25" max="26" width="6.7109375" customWidth="1"/>
  </cols>
  <sheetData>
    <row r="1" spans="1:27" ht="13.5" thickBot="1" x14ac:dyDescent="0.2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81"/>
      <c r="M1" s="293"/>
    </row>
    <row r="2" spans="1:27" ht="15.75" x14ac:dyDescent="0.25">
      <c r="A2" s="120"/>
      <c r="B2" s="304"/>
      <c r="C2" s="387" t="s">
        <v>95</v>
      </c>
      <c r="D2" s="388"/>
      <c r="E2" s="388"/>
      <c r="F2" s="388"/>
      <c r="G2" s="388"/>
      <c r="H2" s="388"/>
      <c r="I2" s="388"/>
      <c r="J2" s="388"/>
      <c r="K2" s="305"/>
      <c r="L2" s="306"/>
      <c r="M2" s="2"/>
    </row>
    <row r="3" spans="1:27" ht="13.5" thickBot="1" x14ac:dyDescent="0.25">
      <c r="A3" s="120"/>
      <c r="B3" s="307"/>
      <c r="C3" s="308"/>
      <c r="D3" s="308"/>
      <c r="E3" s="308"/>
      <c r="F3" s="308"/>
      <c r="G3" s="308"/>
      <c r="H3" s="308"/>
      <c r="I3" s="308"/>
      <c r="J3" s="308"/>
      <c r="K3" s="309"/>
      <c r="L3" s="310"/>
      <c r="Z3" s="60"/>
    </row>
    <row r="4" spans="1:27" ht="15" x14ac:dyDescent="0.25">
      <c r="A4" s="120"/>
      <c r="B4" s="101" t="s">
        <v>18</v>
      </c>
      <c r="C4" s="15" t="s">
        <v>9</v>
      </c>
      <c r="D4" s="16" t="s">
        <v>10</v>
      </c>
      <c r="E4" s="132"/>
      <c r="F4" s="17" t="s">
        <v>1</v>
      </c>
      <c r="G4" s="18" t="s">
        <v>83</v>
      </c>
      <c r="H4" s="19" t="s">
        <v>84</v>
      </c>
      <c r="I4" s="76" t="s">
        <v>32</v>
      </c>
      <c r="J4" s="135" t="s">
        <v>2</v>
      </c>
      <c r="K4" s="382" t="s">
        <v>48</v>
      </c>
      <c r="L4" s="383"/>
      <c r="M4" s="142"/>
      <c r="N4" s="384" t="s">
        <v>31</v>
      </c>
      <c r="O4" s="385"/>
      <c r="P4" s="386"/>
      <c r="Q4" s="380" t="s">
        <v>30</v>
      </c>
      <c r="R4" s="381"/>
    </row>
    <row r="5" spans="1:27" ht="14.1" customHeight="1" x14ac:dyDescent="0.25">
      <c r="A5" s="120"/>
      <c r="B5" s="39" t="s">
        <v>5</v>
      </c>
      <c r="C5" s="20"/>
      <c r="D5" s="35" t="s">
        <v>16</v>
      </c>
      <c r="E5" s="131" t="s">
        <v>11</v>
      </c>
      <c r="F5" s="21" t="s">
        <v>12</v>
      </c>
      <c r="G5" s="22" t="s">
        <v>27</v>
      </c>
      <c r="H5" s="23" t="s">
        <v>27</v>
      </c>
      <c r="I5" s="77" t="s">
        <v>33</v>
      </c>
      <c r="J5" s="136" t="s">
        <v>3</v>
      </c>
      <c r="K5" s="138" t="s">
        <v>49</v>
      </c>
      <c r="L5" s="139" t="s">
        <v>50</v>
      </c>
      <c r="M5" s="143"/>
      <c r="N5" s="74" t="s">
        <v>29</v>
      </c>
      <c r="O5" s="66" t="s">
        <v>25</v>
      </c>
      <c r="P5" s="53" t="s">
        <v>26</v>
      </c>
      <c r="Q5" s="52" t="s">
        <v>25</v>
      </c>
      <c r="R5" s="69" t="s">
        <v>26</v>
      </c>
      <c r="S5" s="61"/>
    </row>
    <row r="6" spans="1:27" ht="14.25" thickBot="1" x14ac:dyDescent="0.25">
      <c r="A6" s="120"/>
      <c r="B6" s="129"/>
      <c r="C6" s="24"/>
      <c r="D6" s="36" t="s">
        <v>15</v>
      </c>
      <c r="E6" s="25"/>
      <c r="F6" s="26"/>
      <c r="G6" s="91" t="s">
        <v>28</v>
      </c>
      <c r="H6" s="92" t="s">
        <v>28</v>
      </c>
      <c r="I6" s="78" t="s">
        <v>34</v>
      </c>
      <c r="J6" s="137" t="s">
        <v>17</v>
      </c>
      <c r="K6" s="104" t="s">
        <v>12</v>
      </c>
      <c r="L6" s="191" t="s">
        <v>12</v>
      </c>
      <c r="M6" s="142"/>
      <c r="N6" s="75" t="s">
        <v>0</v>
      </c>
      <c r="O6" s="24"/>
      <c r="P6" s="38"/>
      <c r="Q6" s="43"/>
      <c r="R6" s="70"/>
      <c r="S6" s="62"/>
    </row>
    <row r="7" spans="1:27" x14ac:dyDescent="0.2">
      <c r="A7" s="120"/>
      <c r="B7" s="79">
        <v>1</v>
      </c>
      <c r="C7" s="80">
        <v>173.53</v>
      </c>
      <c r="D7" s="80">
        <f t="shared" ref="D7:D21" si="0">C7-360</f>
        <v>-186.47</v>
      </c>
      <c r="E7" s="80">
        <v>-3.01</v>
      </c>
      <c r="F7" s="81">
        <v>382.9</v>
      </c>
      <c r="G7" s="82"/>
      <c r="H7" s="82"/>
      <c r="I7" s="82"/>
      <c r="J7" s="133"/>
      <c r="K7" s="141">
        <f t="shared" ref="K7:K34" si="1">F7*COS(RADIANS(C7))</f>
        <v>-380.46130704407221</v>
      </c>
      <c r="L7" s="140">
        <f t="shared" ref="L7:L34" si="2">F7*SIN(RADIANS(C7))</f>
        <v>43.146307400705574</v>
      </c>
      <c r="M7" s="98"/>
      <c r="N7" s="58">
        <v>0</v>
      </c>
      <c r="O7" s="67">
        <f>405*COS(N7)</f>
        <v>405</v>
      </c>
      <c r="P7" s="55">
        <f>405*SIN(N7)</f>
        <v>0</v>
      </c>
      <c r="Q7" s="54">
        <f>365*COS(N7)</f>
        <v>365</v>
      </c>
      <c r="R7" s="71">
        <f>365*SIN(N7)</f>
        <v>0</v>
      </c>
      <c r="S7" s="63"/>
      <c r="AA7" s="128"/>
    </row>
    <row r="8" spans="1:27" x14ac:dyDescent="0.2">
      <c r="A8" s="120"/>
      <c r="B8" s="83">
        <f>B7+1</f>
        <v>2</v>
      </c>
      <c r="C8" s="5">
        <v>186.67</v>
      </c>
      <c r="D8" s="27">
        <f t="shared" si="0"/>
        <v>-173.33</v>
      </c>
      <c r="E8" s="8">
        <v>-3.91</v>
      </c>
      <c r="F8" s="6">
        <v>387.5</v>
      </c>
      <c r="G8" s="7">
        <f t="shared" ref="G8:H36" si="3">RADIANS(D8-D7)</f>
        <v>0.22933626371205468</v>
      </c>
      <c r="H8" s="7">
        <f t="shared" si="3"/>
        <v>-1.570796326794897E-2</v>
      </c>
      <c r="I8" s="7">
        <f t="shared" ref="I8:I36" si="4">SQRT(G8^2+H8^2)</f>
        <v>0.22987357821949073</v>
      </c>
      <c r="J8" s="134">
        <f t="shared" ref="J8:J36" si="5">I8*F8^2*1000000</f>
        <v>34516954479.520409</v>
      </c>
      <c r="K8" s="145">
        <f t="shared" si="1"/>
        <v>-384.87724579402817</v>
      </c>
      <c r="L8" s="146">
        <f t="shared" si="2"/>
        <v>-45.008395550199587</v>
      </c>
      <c r="M8" s="98"/>
      <c r="N8" s="58">
        <f>N7+PI()/20</f>
        <v>0.15707963267948966</v>
      </c>
      <c r="O8" s="67">
        <f t="shared" ref="O8:O47" si="6">405*COS(N8)</f>
        <v>400.01377794103081</v>
      </c>
      <c r="P8" s="55">
        <f t="shared" ref="P8:P47" si="7">405*SIN(N8)</f>
        <v>63.355958341293501</v>
      </c>
      <c r="Q8" s="54">
        <f t="shared" ref="Q8:Q47" si="8">365*COS(N8)</f>
        <v>360.50624431722531</v>
      </c>
      <c r="R8" s="71">
        <f t="shared" ref="R8:R47" si="9">365*SIN(N8)</f>
        <v>57.098579739684268</v>
      </c>
      <c r="S8" s="63"/>
      <c r="AA8" s="128"/>
    </row>
    <row r="9" spans="1:27" x14ac:dyDescent="0.2">
      <c r="A9" s="120"/>
      <c r="B9" s="83">
        <f t="shared" ref="B9:B37" si="10">B8+1</f>
        <v>3</v>
      </c>
      <c r="C9" s="5">
        <v>199.51</v>
      </c>
      <c r="D9" s="27">
        <f t="shared" si="0"/>
        <v>-160.49</v>
      </c>
      <c r="E9" s="8">
        <v>-4.58</v>
      </c>
      <c r="F9" s="6">
        <v>392.1</v>
      </c>
      <c r="G9" s="7">
        <f t="shared" si="3"/>
        <v>0.22410027595607199</v>
      </c>
      <c r="H9" s="7">
        <f t="shared" si="3"/>
        <v>-1.1693705988362007E-2</v>
      </c>
      <c r="I9" s="7">
        <f t="shared" si="4"/>
        <v>0.22440516135626173</v>
      </c>
      <c r="J9" s="134">
        <f t="shared" si="5"/>
        <v>34500590323.350548</v>
      </c>
      <c r="K9" s="145">
        <f t="shared" si="1"/>
        <v>-369.58687916911555</v>
      </c>
      <c r="L9" s="147">
        <f t="shared" si="2"/>
        <v>-130.95017657885606</v>
      </c>
      <c r="M9" s="98"/>
      <c r="N9" s="58">
        <f>N8+PI()/20</f>
        <v>0.31415926535897931</v>
      </c>
      <c r="O9" s="67">
        <f t="shared" si="6"/>
        <v>385.1778890995372</v>
      </c>
      <c r="P9" s="55">
        <f t="shared" si="7"/>
        <v>125.1518827218537</v>
      </c>
      <c r="Q9" s="54">
        <f t="shared" si="8"/>
        <v>347.13562844773105</v>
      </c>
      <c r="R9" s="71">
        <f t="shared" si="9"/>
        <v>112.7912029468558</v>
      </c>
      <c r="S9" s="64"/>
      <c r="AA9" s="128"/>
    </row>
    <row r="10" spans="1:27" x14ac:dyDescent="0.2">
      <c r="A10" s="120"/>
      <c r="B10" s="83">
        <f t="shared" si="10"/>
        <v>4</v>
      </c>
      <c r="C10" s="5">
        <v>212.05</v>
      </c>
      <c r="D10" s="27">
        <f t="shared" si="0"/>
        <v>-147.94999999999999</v>
      </c>
      <c r="E10" s="8">
        <v>-5.0199999999999996</v>
      </c>
      <c r="F10" s="6">
        <v>396.4</v>
      </c>
      <c r="G10" s="7">
        <f t="shared" si="3"/>
        <v>0.21886428820008927</v>
      </c>
      <c r="H10" s="7">
        <f t="shared" si="3"/>
        <v>-7.6794487087750414E-3</v>
      </c>
      <c r="I10" s="7">
        <f t="shared" si="4"/>
        <v>0.21899897392865211</v>
      </c>
      <c r="J10" s="134">
        <f t="shared" si="5"/>
        <v>34411957010.371933</v>
      </c>
      <c r="K10" s="145">
        <f t="shared" si="1"/>
        <v>-335.98282540891176</v>
      </c>
      <c r="L10" s="147">
        <f t="shared" si="2"/>
        <v>-210.35327672809072</v>
      </c>
      <c r="M10" s="98"/>
      <c r="N10" s="58">
        <f>N9+PI()/20</f>
        <v>0.47123889803846897</v>
      </c>
      <c r="O10" s="67">
        <f t="shared" si="6"/>
        <v>360.85764229628899</v>
      </c>
      <c r="P10" s="55">
        <f t="shared" si="7"/>
        <v>183.86615239451643</v>
      </c>
      <c r="Q10" s="54">
        <f t="shared" si="8"/>
        <v>325.2173813287543</v>
      </c>
      <c r="R10" s="71">
        <f t="shared" si="9"/>
        <v>165.70653240493456</v>
      </c>
      <c r="S10" s="64"/>
      <c r="AA10" s="128"/>
    </row>
    <row r="11" spans="1:27" x14ac:dyDescent="0.2">
      <c r="A11" s="120"/>
      <c r="B11" s="83">
        <f t="shared" si="10"/>
        <v>5</v>
      </c>
      <c r="C11" s="5">
        <v>224.34</v>
      </c>
      <c r="D11" s="27">
        <f t="shared" si="0"/>
        <v>-135.66</v>
      </c>
      <c r="E11" s="302">
        <v>-5.22</v>
      </c>
      <c r="F11" s="6">
        <v>399.9</v>
      </c>
      <c r="G11" s="7">
        <f t="shared" si="3"/>
        <v>0.21450096507010297</v>
      </c>
      <c r="H11" s="7">
        <f t="shared" si="3"/>
        <v>-3.4906585039886622E-3</v>
      </c>
      <c r="I11" s="7">
        <f t="shared" si="4"/>
        <v>0.21452936561878189</v>
      </c>
      <c r="J11" s="134">
        <f t="shared" si="5"/>
        <v>34307538295.049248</v>
      </c>
      <c r="K11" s="145">
        <f t="shared" si="1"/>
        <v>-286.01046889556773</v>
      </c>
      <c r="L11" s="147">
        <f t="shared" si="2"/>
        <v>-279.49601371421647</v>
      </c>
      <c r="M11" s="98"/>
      <c r="N11" s="58">
        <f t="shared" ref="N11:N47" si="11">N10+PI()/20</f>
        <v>0.62831853071795862</v>
      </c>
      <c r="O11" s="67">
        <f t="shared" si="6"/>
        <v>327.65188272185372</v>
      </c>
      <c r="P11" s="55">
        <f t="shared" si="7"/>
        <v>238.05302717845163</v>
      </c>
      <c r="Q11" s="54">
        <f t="shared" si="8"/>
        <v>295.29120294685583</v>
      </c>
      <c r="R11" s="71">
        <f t="shared" si="9"/>
        <v>214.54161708675269</v>
      </c>
      <c r="S11" s="64"/>
      <c r="AA11" s="128"/>
    </row>
    <row r="12" spans="1:27" x14ac:dyDescent="0.2">
      <c r="A12" s="120"/>
      <c r="B12" s="83">
        <f t="shared" si="10"/>
        <v>6</v>
      </c>
      <c r="C12" s="5">
        <v>236.42</v>
      </c>
      <c r="D12" s="27">
        <f t="shared" si="0"/>
        <v>-123.58000000000001</v>
      </c>
      <c r="E12" s="302">
        <v>-5.18</v>
      </c>
      <c r="F12" s="6">
        <v>402.5</v>
      </c>
      <c r="G12" s="7">
        <f t="shared" si="3"/>
        <v>0.21083577364091474</v>
      </c>
      <c r="H12" s="7">
        <f t="shared" si="3"/>
        <v>6.981317007977324E-4</v>
      </c>
      <c r="I12" s="7">
        <f t="shared" si="4"/>
        <v>0.21083692948493321</v>
      </c>
      <c r="J12" s="134">
        <f t="shared" si="5"/>
        <v>34156900307.368458</v>
      </c>
      <c r="K12" s="145">
        <f t="shared" si="1"/>
        <v>-222.62306039733537</v>
      </c>
      <c r="L12" s="147">
        <f t="shared" si="2"/>
        <v>-335.32852992151498</v>
      </c>
      <c r="M12" s="98"/>
      <c r="N12" s="58">
        <f t="shared" si="11"/>
        <v>0.78539816339744828</v>
      </c>
      <c r="O12" s="67">
        <f t="shared" si="6"/>
        <v>286.37824638055179</v>
      </c>
      <c r="P12" s="55">
        <f t="shared" si="7"/>
        <v>286.37824638055173</v>
      </c>
      <c r="Q12" s="54">
        <f t="shared" si="8"/>
        <v>258.09397513308988</v>
      </c>
      <c r="R12" s="71">
        <f t="shared" si="9"/>
        <v>258.09397513308983</v>
      </c>
      <c r="S12" s="64"/>
      <c r="AA12" s="128"/>
    </row>
    <row r="13" spans="1:27" x14ac:dyDescent="0.2">
      <c r="A13" s="120"/>
      <c r="B13" s="83">
        <f t="shared" si="10"/>
        <v>7</v>
      </c>
      <c r="C13" s="5">
        <v>248.35</v>
      </c>
      <c r="D13" s="27">
        <f t="shared" si="0"/>
        <v>-111.65</v>
      </c>
      <c r="E13" s="302">
        <v>-4.91</v>
      </c>
      <c r="F13" s="6">
        <v>404</v>
      </c>
      <c r="G13" s="7">
        <f t="shared" si="3"/>
        <v>0.20821777976292363</v>
      </c>
      <c r="H13" s="7">
        <f t="shared" si="3"/>
        <v>4.7123889803846819E-3</v>
      </c>
      <c r="I13" s="7">
        <f t="shared" si="4"/>
        <v>0.20827109837734045</v>
      </c>
      <c r="J13" s="134">
        <f t="shared" si="5"/>
        <v>33993175592.756001</v>
      </c>
      <c r="K13" s="145">
        <f t="shared" si="1"/>
        <v>-149.05006136567118</v>
      </c>
      <c r="L13" s="147">
        <f t="shared" si="2"/>
        <v>-375.4997725790119</v>
      </c>
      <c r="M13" s="98"/>
      <c r="N13" s="58">
        <f t="shared" si="11"/>
        <v>0.94247779607693793</v>
      </c>
      <c r="O13" s="67">
        <f t="shared" si="6"/>
        <v>238.05302717845163</v>
      </c>
      <c r="P13" s="55">
        <f t="shared" si="7"/>
        <v>327.65188272185372</v>
      </c>
      <c r="Q13" s="54">
        <f t="shared" si="8"/>
        <v>214.54161708675269</v>
      </c>
      <c r="R13" s="71">
        <f t="shared" si="9"/>
        <v>295.29120294685583</v>
      </c>
      <c r="S13" s="64"/>
      <c r="AA13" s="128"/>
    </row>
    <row r="14" spans="1:27" ht="12.75" customHeight="1" x14ac:dyDescent="0.2">
      <c r="A14" s="120"/>
      <c r="B14" s="83">
        <f t="shared" si="10"/>
        <v>8</v>
      </c>
      <c r="C14" s="5">
        <v>260.22000000000003</v>
      </c>
      <c r="D14" s="27">
        <f t="shared" si="0"/>
        <v>-99.779999999999973</v>
      </c>
      <c r="E14" s="302">
        <v>-4.4400000000000004</v>
      </c>
      <c r="F14" s="6">
        <v>404.1</v>
      </c>
      <c r="G14" s="7">
        <f t="shared" si="3"/>
        <v>0.20717058221172749</v>
      </c>
      <c r="H14" s="7">
        <f t="shared" si="3"/>
        <v>8.203047484373345E-3</v>
      </c>
      <c r="I14" s="7">
        <f t="shared" si="4"/>
        <v>0.20733292097970601</v>
      </c>
      <c r="J14" s="134">
        <f t="shared" si="5"/>
        <v>33856804603.968071</v>
      </c>
      <c r="K14" s="288">
        <f t="shared" si="1"/>
        <v>-68.642655240759566</v>
      </c>
      <c r="L14" s="289">
        <f t="shared" si="2"/>
        <v>-398.22731684491242</v>
      </c>
      <c r="M14" s="287"/>
      <c r="N14" s="58">
        <f t="shared" si="11"/>
        <v>1.0995574287564276</v>
      </c>
      <c r="O14" s="67">
        <f t="shared" si="6"/>
        <v>183.86615239451646</v>
      </c>
      <c r="P14" s="55">
        <f t="shared" si="7"/>
        <v>360.85764229628893</v>
      </c>
      <c r="Q14" s="54">
        <f t="shared" si="8"/>
        <v>165.70653240493459</v>
      </c>
      <c r="R14" s="71">
        <f t="shared" si="9"/>
        <v>325.21738132875424</v>
      </c>
      <c r="S14" s="64"/>
      <c r="AA14" s="128"/>
    </row>
    <row r="15" spans="1:27" ht="12.75" customHeight="1" x14ac:dyDescent="0.2">
      <c r="A15" s="120"/>
      <c r="B15" s="83">
        <f t="shared" si="10"/>
        <v>9</v>
      </c>
      <c r="C15" s="5">
        <v>272.11</v>
      </c>
      <c r="D15" s="27">
        <f t="shared" si="0"/>
        <v>-87.889999999999986</v>
      </c>
      <c r="E15" s="303">
        <v>-3.77</v>
      </c>
      <c r="F15" s="6">
        <v>403</v>
      </c>
      <c r="G15" s="7">
        <f t="shared" si="3"/>
        <v>0.20751964806212556</v>
      </c>
      <c r="H15" s="7">
        <f t="shared" si="3"/>
        <v>1.1693705988362014E-2</v>
      </c>
      <c r="I15" s="7">
        <f t="shared" si="4"/>
        <v>0.20784885636339379</v>
      </c>
      <c r="J15" s="134">
        <f t="shared" si="5"/>
        <v>33756524913.122417</v>
      </c>
      <c r="K15" s="145">
        <f t="shared" si="1"/>
        <v>14.837703913708632</v>
      </c>
      <c r="L15" s="147">
        <f t="shared" si="2"/>
        <v>-402.72675915882365</v>
      </c>
      <c r="M15" s="98"/>
      <c r="N15" s="58">
        <f t="shared" si="11"/>
        <v>1.2566370614359172</v>
      </c>
      <c r="O15" s="67">
        <f t="shared" si="6"/>
        <v>125.15188272185372</v>
      </c>
      <c r="P15" s="55">
        <f t="shared" si="7"/>
        <v>385.1778890995372</v>
      </c>
      <c r="Q15" s="54">
        <f t="shared" si="8"/>
        <v>112.79120294685582</v>
      </c>
      <c r="R15" s="71">
        <f t="shared" si="9"/>
        <v>347.13562844773105</v>
      </c>
      <c r="S15" s="64"/>
      <c r="AA15" s="128"/>
    </row>
    <row r="16" spans="1:27" x14ac:dyDescent="0.2">
      <c r="A16" s="120"/>
      <c r="B16" s="83">
        <f t="shared" si="10"/>
        <v>10</v>
      </c>
      <c r="C16" s="5">
        <v>284.08999999999997</v>
      </c>
      <c r="D16" s="27">
        <f t="shared" si="0"/>
        <v>-75.910000000000025</v>
      </c>
      <c r="E16" s="303">
        <v>-2.94</v>
      </c>
      <c r="F16" s="6">
        <v>400.7</v>
      </c>
      <c r="G16" s="7">
        <f t="shared" si="3"/>
        <v>0.20909044438891999</v>
      </c>
      <c r="H16" s="7">
        <f t="shared" si="3"/>
        <v>1.4486232791552936E-2</v>
      </c>
      <c r="I16" s="7">
        <f t="shared" si="4"/>
        <v>0.20959166222740616</v>
      </c>
      <c r="J16" s="134">
        <f t="shared" si="5"/>
        <v>33652139987.146824</v>
      </c>
      <c r="K16" s="145">
        <f t="shared" si="1"/>
        <v>97.548705404039964</v>
      </c>
      <c r="L16" s="147">
        <f t="shared" si="2"/>
        <v>-388.64474790481319</v>
      </c>
      <c r="M16" s="98"/>
      <c r="N16" s="58">
        <f t="shared" si="11"/>
        <v>1.4137166941154069</v>
      </c>
      <c r="O16" s="67">
        <f t="shared" si="6"/>
        <v>63.355958341293523</v>
      </c>
      <c r="P16" s="55">
        <f t="shared" si="7"/>
        <v>400.01377794103081</v>
      </c>
      <c r="Q16" s="54">
        <f t="shared" si="8"/>
        <v>57.09857973968429</v>
      </c>
      <c r="R16" s="71">
        <f t="shared" si="9"/>
        <v>360.50624431722531</v>
      </c>
      <c r="S16" s="65"/>
      <c r="AA16" s="128"/>
    </row>
    <row r="17" spans="1:27" x14ac:dyDescent="0.2">
      <c r="A17" s="120"/>
      <c r="B17" s="83">
        <f t="shared" si="10"/>
        <v>11</v>
      </c>
      <c r="C17" s="5">
        <v>296.24</v>
      </c>
      <c r="D17" s="27">
        <f t="shared" si="0"/>
        <v>-63.759999999999991</v>
      </c>
      <c r="E17" s="303">
        <v>-1.97</v>
      </c>
      <c r="F17" s="6">
        <v>397.3</v>
      </c>
      <c r="G17" s="7">
        <f t="shared" si="3"/>
        <v>0.21205750411731164</v>
      </c>
      <c r="H17" s="7">
        <f t="shared" si="3"/>
        <v>1.6929693744344994E-2</v>
      </c>
      <c r="I17" s="7">
        <f t="shared" si="4"/>
        <v>0.21273222506884321</v>
      </c>
      <c r="J17" s="134">
        <f t="shared" si="5"/>
        <v>33579205222.786964</v>
      </c>
      <c r="K17" s="145">
        <f t="shared" si="1"/>
        <v>175.65910306001433</v>
      </c>
      <c r="L17" s="147">
        <f t="shared" si="2"/>
        <v>-356.35820393552223</v>
      </c>
      <c r="M17" s="98"/>
      <c r="N17" s="58">
        <f t="shared" si="11"/>
        <v>1.5707963267948966</v>
      </c>
      <c r="O17" s="67">
        <f t="shared" si="6"/>
        <v>2.4809256211899555E-14</v>
      </c>
      <c r="P17" s="55">
        <f t="shared" si="7"/>
        <v>405</v>
      </c>
      <c r="Q17" s="54">
        <f t="shared" si="8"/>
        <v>2.2358959302082315E-14</v>
      </c>
      <c r="R17" s="71">
        <f t="shared" si="9"/>
        <v>365</v>
      </c>
      <c r="S17" s="64"/>
      <c r="AA17" s="128"/>
    </row>
    <row r="18" spans="1:27" x14ac:dyDescent="0.2">
      <c r="A18" s="120"/>
      <c r="B18" s="83">
        <f t="shared" si="10"/>
        <v>12</v>
      </c>
      <c r="C18" s="5">
        <v>308.63</v>
      </c>
      <c r="D18" s="27">
        <f t="shared" si="0"/>
        <v>-51.370000000000005</v>
      </c>
      <c r="E18" s="303">
        <v>-0.88</v>
      </c>
      <c r="F18" s="6">
        <v>393.3</v>
      </c>
      <c r="G18" s="7">
        <f t="shared" si="3"/>
        <v>0.21624629432209719</v>
      </c>
      <c r="H18" s="7">
        <f t="shared" si="3"/>
        <v>1.9024088846738188E-2</v>
      </c>
      <c r="I18" s="7">
        <f t="shared" si="4"/>
        <v>0.21708149567498303</v>
      </c>
      <c r="J18" s="134">
        <f t="shared" si="5"/>
        <v>33579227279.520229</v>
      </c>
      <c r="K18" s="145">
        <f t="shared" si="1"/>
        <v>245.53275134720306</v>
      </c>
      <c r="L18" s="187">
        <f t="shared" si="2"/>
        <v>-307.2434832764929</v>
      </c>
      <c r="M18" s="98"/>
      <c r="N18" s="58">
        <f t="shared" si="11"/>
        <v>1.7278759594743862</v>
      </c>
      <c r="O18" s="67">
        <f t="shared" si="6"/>
        <v>-63.35595834129348</v>
      </c>
      <c r="P18" s="55">
        <f t="shared" si="7"/>
        <v>400.01377794103081</v>
      </c>
      <c r="Q18" s="54">
        <f t="shared" si="8"/>
        <v>-57.098579739684247</v>
      </c>
      <c r="R18" s="71">
        <f t="shared" si="9"/>
        <v>360.50624431722531</v>
      </c>
      <c r="S18" s="64"/>
      <c r="AA18" s="128"/>
    </row>
    <row r="19" spans="1:27" x14ac:dyDescent="0.2">
      <c r="A19" s="120"/>
      <c r="B19" s="83">
        <f t="shared" si="10"/>
        <v>13</v>
      </c>
      <c r="C19" s="5">
        <v>321.32</v>
      </c>
      <c r="D19" s="27">
        <f t="shared" si="0"/>
        <v>-38.680000000000007</v>
      </c>
      <c r="E19" s="303">
        <v>0.27</v>
      </c>
      <c r="F19" s="6">
        <v>388.7</v>
      </c>
      <c r="G19" s="7">
        <f t="shared" si="3"/>
        <v>0.22148228207808038</v>
      </c>
      <c r="H19" s="7">
        <f t="shared" si="3"/>
        <v>2.007128639793479E-2</v>
      </c>
      <c r="I19" s="7">
        <f t="shared" si="4"/>
        <v>0.22238987794452852</v>
      </c>
      <c r="J19" s="134">
        <f t="shared" si="5"/>
        <v>33600372938.020767</v>
      </c>
      <c r="K19" s="145">
        <f t="shared" si="1"/>
        <v>303.43811495844926</v>
      </c>
      <c r="L19" s="147">
        <f t="shared" si="2"/>
        <v>-242.92591543609115</v>
      </c>
      <c r="M19" s="98"/>
      <c r="N19" s="58">
        <f t="shared" si="11"/>
        <v>1.8849555921538759</v>
      </c>
      <c r="O19" s="67">
        <f t="shared" si="6"/>
        <v>-125.15188272185367</v>
      </c>
      <c r="P19" s="55">
        <f t="shared" si="7"/>
        <v>385.1778890995372</v>
      </c>
      <c r="Q19" s="54">
        <f t="shared" si="8"/>
        <v>-112.79120294685578</v>
      </c>
      <c r="R19" s="71">
        <f t="shared" si="9"/>
        <v>347.13562844773105</v>
      </c>
      <c r="S19" s="64"/>
      <c r="AA19" s="128"/>
    </row>
    <row r="20" spans="1:27" x14ac:dyDescent="0.2">
      <c r="A20" s="120"/>
      <c r="B20" s="83">
        <f t="shared" si="10"/>
        <v>14</v>
      </c>
      <c r="C20" s="5">
        <v>334.33</v>
      </c>
      <c r="D20" s="27">
        <f t="shared" si="0"/>
        <v>-25.670000000000016</v>
      </c>
      <c r="E20" s="303">
        <v>1.44</v>
      </c>
      <c r="F20" s="6">
        <v>384.1</v>
      </c>
      <c r="G20" s="7">
        <f t="shared" si="3"/>
        <v>0.22706733568446211</v>
      </c>
      <c r="H20" s="7">
        <f t="shared" si="3"/>
        <v>2.0420352248333655E-2</v>
      </c>
      <c r="I20" s="7">
        <f t="shared" si="4"/>
        <v>0.22798369617318301</v>
      </c>
      <c r="J20" s="134">
        <f t="shared" si="5"/>
        <v>33635075330.61594</v>
      </c>
      <c r="K20" s="145">
        <f t="shared" si="1"/>
        <v>346.1908514814582</v>
      </c>
      <c r="L20" s="147">
        <f t="shared" si="2"/>
        <v>-166.38721210039844</v>
      </c>
      <c r="M20" s="98"/>
      <c r="N20" s="58">
        <f t="shared" si="11"/>
        <v>2.0420352248333655</v>
      </c>
      <c r="O20" s="67">
        <f t="shared" si="6"/>
        <v>-183.8661523945164</v>
      </c>
      <c r="P20" s="55">
        <f t="shared" si="7"/>
        <v>360.85764229628899</v>
      </c>
      <c r="Q20" s="54">
        <f t="shared" si="8"/>
        <v>-165.70653240493453</v>
      </c>
      <c r="R20" s="71">
        <f t="shared" si="9"/>
        <v>325.2173813287543</v>
      </c>
      <c r="S20" s="64"/>
      <c r="AA20" s="128"/>
    </row>
    <row r="21" spans="1:27" x14ac:dyDescent="0.2">
      <c r="A21" s="120"/>
      <c r="B21" s="83">
        <f t="shared" si="10"/>
        <v>15</v>
      </c>
      <c r="C21" s="5">
        <v>347.68</v>
      </c>
      <c r="D21" s="27">
        <f t="shared" si="0"/>
        <v>-12.319999999999993</v>
      </c>
      <c r="E21" s="303">
        <v>2.5499999999999998</v>
      </c>
      <c r="F21" s="6">
        <v>379.8</v>
      </c>
      <c r="G21" s="7">
        <f t="shared" si="3"/>
        <v>0.2330014551412434</v>
      </c>
      <c r="H21" s="7">
        <f t="shared" si="3"/>
        <v>1.9373154697137056E-2</v>
      </c>
      <c r="I21" s="7">
        <f t="shared" si="4"/>
        <v>0.23380546875737543</v>
      </c>
      <c r="J21" s="134">
        <f t="shared" si="5"/>
        <v>33725980609.532642</v>
      </c>
      <c r="K21" s="145">
        <f t="shared" si="1"/>
        <v>371.0536440152913</v>
      </c>
      <c r="L21" s="147">
        <f t="shared" si="2"/>
        <v>-81.038467797543404</v>
      </c>
      <c r="M21" s="98"/>
      <c r="N21" s="58">
        <f t="shared" si="11"/>
        <v>2.1991148575128552</v>
      </c>
      <c r="O21" s="67">
        <f t="shared" si="6"/>
        <v>-238.05302717845157</v>
      </c>
      <c r="P21" s="55">
        <f t="shared" si="7"/>
        <v>327.65188272185372</v>
      </c>
      <c r="Q21" s="54">
        <f t="shared" si="8"/>
        <v>-214.54161708675267</v>
      </c>
      <c r="R21" s="71">
        <f t="shared" si="9"/>
        <v>295.29120294685583</v>
      </c>
      <c r="S21" s="64"/>
      <c r="AA21" s="128"/>
    </row>
    <row r="22" spans="1:27" x14ac:dyDescent="0.2">
      <c r="A22" s="120"/>
      <c r="B22" s="83">
        <f t="shared" si="10"/>
        <v>16</v>
      </c>
      <c r="C22" s="5">
        <f>1.35</f>
        <v>1.35</v>
      </c>
      <c r="D22" s="27">
        <f>C22</f>
        <v>1.35</v>
      </c>
      <c r="E22" s="303">
        <v>3.55</v>
      </c>
      <c r="F22" s="6">
        <v>375.9</v>
      </c>
      <c r="G22" s="7">
        <f t="shared" si="3"/>
        <v>0.23858650874762471</v>
      </c>
      <c r="H22" s="7">
        <f t="shared" si="3"/>
        <v>1.7453292519943295E-2</v>
      </c>
      <c r="I22" s="7">
        <f t="shared" si="4"/>
        <v>0.23922403636793504</v>
      </c>
      <c r="J22" s="134">
        <f>I22*F22^2*1000000</f>
        <v>33802550110.258671</v>
      </c>
      <c r="K22" s="145">
        <f t="shared" si="1"/>
        <v>375.79566151894636</v>
      </c>
      <c r="L22" s="147">
        <f t="shared" si="2"/>
        <v>8.8561156009540554</v>
      </c>
      <c r="M22" s="98"/>
      <c r="N22" s="58">
        <f t="shared" si="11"/>
        <v>2.3561944901923448</v>
      </c>
      <c r="O22" s="67">
        <f t="shared" si="6"/>
        <v>-286.37824638055173</v>
      </c>
      <c r="P22" s="55">
        <f t="shared" si="7"/>
        <v>286.37824638055179</v>
      </c>
      <c r="Q22" s="54">
        <f t="shared" si="8"/>
        <v>-258.09397513308983</v>
      </c>
      <c r="R22" s="71">
        <f t="shared" si="9"/>
        <v>258.09397513308988</v>
      </c>
      <c r="S22" s="64"/>
      <c r="AA22" s="128"/>
    </row>
    <row r="23" spans="1:27" x14ac:dyDescent="0.2">
      <c r="A23" s="120"/>
      <c r="B23" s="83">
        <f t="shared" si="10"/>
        <v>17</v>
      </c>
      <c r="C23" s="5">
        <v>15.29</v>
      </c>
      <c r="D23" s="27">
        <f t="shared" ref="D23:D37" si="12">C23</f>
        <v>15.29</v>
      </c>
      <c r="E23" s="303">
        <v>4.3499999999999996</v>
      </c>
      <c r="F23" s="6">
        <v>372.9</v>
      </c>
      <c r="G23" s="7">
        <f t="shared" si="3"/>
        <v>0.24329889772800953</v>
      </c>
      <c r="H23" s="7">
        <f t="shared" si="3"/>
        <v>1.3962634015954633E-2</v>
      </c>
      <c r="I23" s="7">
        <f t="shared" si="4"/>
        <v>0.24369921785743986</v>
      </c>
      <c r="J23" s="134">
        <f t="shared" si="5"/>
        <v>33887450956.627754</v>
      </c>
      <c r="K23" s="145">
        <f t="shared" si="1"/>
        <v>359.70062960074364</v>
      </c>
      <c r="L23" s="147">
        <f t="shared" si="2"/>
        <v>98.335482227061021</v>
      </c>
      <c r="M23" s="98"/>
      <c r="N23" s="58">
        <f t="shared" si="11"/>
        <v>2.5132741228718345</v>
      </c>
      <c r="O23" s="67">
        <f t="shared" si="6"/>
        <v>-327.65188272185367</v>
      </c>
      <c r="P23" s="55">
        <f t="shared" si="7"/>
        <v>238.05302717845166</v>
      </c>
      <c r="Q23" s="54">
        <f t="shared" si="8"/>
        <v>-295.29120294685578</v>
      </c>
      <c r="R23" s="71">
        <f t="shared" si="9"/>
        <v>214.54161708675272</v>
      </c>
      <c r="S23" s="64"/>
      <c r="AA23" s="128"/>
    </row>
    <row r="24" spans="1:27" x14ac:dyDescent="0.2">
      <c r="A24" s="120"/>
      <c r="B24" s="83">
        <f t="shared" si="10"/>
        <v>18</v>
      </c>
      <c r="C24" s="5">
        <v>29.44</v>
      </c>
      <c r="D24" s="27">
        <f t="shared" si="12"/>
        <v>29.44</v>
      </c>
      <c r="E24" s="303">
        <v>4.9000000000000004</v>
      </c>
      <c r="F24" s="6">
        <v>370.7</v>
      </c>
      <c r="G24" s="7">
        <f t="shared" si="3"/>
        <v>0.24696408915719767</v>
      </c>
      <c r="H24" s="7">
        <f t="shared" si="3"/>
        <v>9.5993108859688241E-3</v>
      </c>
      <c r="I24" s="7">
        <f t="shared" si="4"/>
        <v>0.24715057779161625</v>
      </c>
      <c r="J24" s="134">
        <f t="shared" si="5"/>
        <v>33963059202.751434</v>
      </c>
      <c r="K24" s="145">
        <f t="shared" si="1"/>
        <v>322.83183646380411</v>
      </c>
      <c r="L24" s="147">
        <f t="shared" si="2"/>
        <v>182.20344498775981</v>
      </c>
      <c r="M24" s="98"/>
      <c r="N24" s="58">
        <f t="shared" si="11"/>
        <v>2.6703537555513241</v>
      </c>
      <c r="O24" s="67">
        <f t="shared" si="6"/>
        <v>-360.85764229628893</v>
      </c>
      <c r="P24" s="55">
        <f t="shared" si="7"/>
        <v>183.86615239451649</v>
      </c>
      <c r="Q24" s="54">
        <f t="shared" si="8"/>
        <v>-325.21738132875424</v>
      </c>
      <c r="R24" s="71">
        <f t="shared" si="9"/>
        <v>165.70653240493459</v>
      </c>
      <c r="S24" s="64"/>
      <c r="AA24" s="128"/>
    </row>
    <row r="25" spans="1:27" x14ac:dyDescent="0.2">
      <c r="A25" s="120"/>
      <c r="B25" s="83">
        <f t="shared" si="10"/>
        <v>19</v>
      </c>
      <c r="C25" s="5">
        <v>43.71</v>
      </c>
      <c r="D25" s="27">
        <f t="shared" si="12"/>
        <v>43.71</v>
      </c>
      <c r="E25" s="303">
        <v>5.15</v>
      </c>
      <c r="F25" s="9">
        <v>369.4</v>
      </c>
      <c r="G25" s="7">
        <f t="shared" si="3"/>
        <v>0.24905848425959082</v>
      </c>
      <c r="H25" s="7">
        <f t="shared" si="3"/>
        <v>4.3633231299858239E-3</v>
      </c>
      <c r="I25" s="7">
        <f t="shared" si="4"/>
        <v>0.2490967024479078</v>
      </c>
      <c r="J25" s="134">
        <f t="shared" si="5"/>
        <v>33990829304.044586</v>
      </c>
      <c r="K25" s="145">
        <f t="shared" si="1"/>
        <v>267.01951674121483</v>
      </c>
      <c r="L25" s="147">
        <f t="shared" si="2"/>
        <v>255.25857023670741</v>
      </c>
      <c r="M25" s="98"/>
      <c r="N25" s="58">
        <f t="shared" si="11"/>
        <v>2.8274333882308138</v>
      </c>
      <c r="O25" s="67">
        <f t="shared" si="6"/>
        <v>-385.1778890995372</v>
      </c>
      <c r="P25" s="55">
        <f t="shared" si="7"/>
        <v>125.15188272185374</v>
      </c>
      <c r="Q25" s="54">
        <f t="shared" si="8"/>
        <v>-347.13562844773105</v>
      </c>
      <c r="R25" s="71">
        <f t="shared" si="9"/>
        <v>112.79120294685583</v>
      </c>
      <c r="S25" s="64"/>
      <c r="AA25" s="128"/>
    </row>
    <row r="26" spans="1:27" x14ac:dyDescent="0.2">
      <c r="A26" s="120"/>
      <c r="B26" s="83">
        <f t="shared" si="10"/>
        <v>20</v>
      </c>
      <c r="C26" s="5">
        <v>58.04</v>
      </c>
      <c r="D26" s="27">
        <f t="shared" si="12"/>
        <v>58.04</v>
      </c>
      <c r="E26" s="28">
        <v>5.08</v>
      </c>
      <c r="F26" s="6">
        <v>368.9</v>
      </c>
      <c r="G26" s="7">
        <f t="shared" si="3"/>
        <v>0.25010568181078741</v>
      </c>
      <c r="H26" s="7">
        <f t="shared" si="3"/>
        <v>-1.2217304763960355E-3</v>
      </c>
      <c r="I26" s="7">
        <f t="shared" si="4"/>
        <v>0.25010866578228708</v>
      </c>
      <c r="J26" s="134">
        <f t="shared" si="5"/>
        <v>34036590523.133911</v>
      </c>
      <c r="K26" s="288">
        <f t="shared" si="1"/>
        <v>195.26876198240987</v>
      </c>
      <c r="L26" s="289">
        <f t="shared" si="2"/>
        <v>312.98134224559931</v>
      </c>
      <c r="M26" s="287"/>
      <c r="N26" s="58">
        <f t="shared" si="11"/>
        <v>2.9845130209103035</v>
      </c>
      <c r="O26" s="67">
        <f t="shared" si="6"/>
        <v>-400.01377794103075</v>
      </c>
      <c r="P26" s="55">
        <f t="shared" si="7"/>
        <v>63.355958341293544</v>
      </c>
      <c r="Q26" s="54">
        <f t="shared" si="8"/>
        <v>-360.50624431722525</v>
      </c>
      <c r="R26" s="71">
        <f t="shared" si="9"/>
        <v>57.098579739684311</v>
      </c>
      <c r="S26" s="64"/>
      <c r="AA26" s="128"/>
    </row>
    <row r="27" spans="1:27" x14ac:dyDescent="0.2">
      <c r="A27" s="120"/>
      <c r="B27" s="83">
        <f t="shared" si="10"/>
        <v>21</v>
      </c>
      <c r="C27" s="5">
        <v>72.34</v>
      </c>
      <c r="D27" s="27">
        <f t="shared" si="12"/>
        <v>72.34</v>
      </c>
      <c r="E27" s="5">
        <v>4.7</v>
      </c>
      <c r="F27" s="6">
        <v>369.1</v>
      </c>
      <c r="G27" s="7">
        <f t="shared" si="3"/>
        <v>0.2495820830351892</v>
      </c>
      <c r="H27" s="7">
        <f t="shared" si="3"/>
        <v>-6.6322511575784508E-3</v>
      </c>
      <c r="I27" s="7">
        <f t="shared" si="4"/>
        <v>0.24967018830369253</v>
      </c>
      <c r="J27" s="134">
        <f t="shared" si="5"/>
        <v>34013770666.217781</v>
      </c>
      <c r="K27" s="145">
        <f t="shared" si="1"/>
        <v>111.97309325873854</v>
      </c>
      <c r="L27" s="147">
        <f t="shared" si="2"/>
        <v>351.70561039890998</v>
      </c>
      <c r="M27" s="98"/>
      <c r="N27" s="58">
        <f t="shared" si="11"/>
        <v>3.1415926535897931</v>
      </c>
      <c r="O27" s="67">
        <f t="shared" si="6"/>
        <v>-405</v>
      </c>
      <c r="P27" s="55">
        <f t="shared" si="7"/>
        <v>4.961851242379911E-14</v>
      </c>
      <c r="Q27" s="54">
        <f t="shared" si="8"/>
        <v>-365</v>
      </c>
      <c r="R27" s="71">
        <f t="shared" si="9"/>
        <v>4.471791860416463E-14</v>
      </c>
      <c r="S27" s="64"/>
      <c r="AA27" s="128"/>
    </row>
    <row r="28" spans="1:27" x14ac:dyDescent="0.2">
      <c r="A28" s="120"/>
      <c r="B28" s="83">
        <f t="shared" si="10"/>
        <v>22</v>
      </c>
      <c r="C28" s="5">
        <v>86.57</v>
      </c>
      <c r="D28" s="27">
        <f t="shared" si="12"/>
        <v>86.57</v>
      </c>
      <c r="E28" s="5">
        <v>4.03</v>
      </c>
      <c r="F28" s="6">
        <v>370</v>
      </c>
      <c r="G28" s="7">
        <f t="shared" si="3"/>
        <v>0.24836035255879291</v>
      </c>
      <c r="H28" s="7">
        <f t="shared" si="3"/>
        <v>-1.1693705988362007E-2</v>
      </c>
      <c r="I28" s="7">
        <f t="shared" si="4"/>
        <v>0.24863549119719444</v>
      </c>
      <c r="J28" s="134">
        <f t="shared" si="5"/>
        <v>34038198744.89592</v>
      </c>
      <c r="K28" s="145">
        <f t="shared" si="1"/>
        <v>22.136745752433374</v>
      </c>
      <c r="L28" s="147">
        <f t="shared" si="2"/>
        <v>369.33719618729458</v>
      </c>
      <c r="M28" s="98"/>
      <c r="N28" s="58">
        <f t="shared" si="11"/>
        <v>3.2986722862692828</v>
      </c>
      <c r="O28" s="67">
        <f t="shared" si="6"/>
        <v>-400.01377794103081</v>
      </c>
      <c r="P28" s="55">
        <f t="shared" si="7"/>
        <v>-63.355958341293444</v>
      </c>
      <c r="Q28" s="54">
        <f t="shared" si="8"/>
        <v>-360.50624431722531</v>
      </c>
      <c r="R28" s="71">
        <f t="shared" si="9"/>
        <v>-57.098579739684219</v>
      </c>
      <c r="S28" s="64"/>
      <c r="AA28" s="128"/>
    </row>
    <row r="29" spans="1:27" x14ac:dyDescent="0.2">
      <c r="A29" s="120"/>
      <c r="B29" s="83">
        <f t="shared" si="10"/>
        <v>23</v>
      </c>
      <c r="C29" s="5">
        <v>100.68</v>
      </c>
      <c r="D29" s="27">
        <f t="shared" si="12"/>
        <v>100.68</v>
      </c>
      <c r="E29" s="5">
        <v>3.12</v>
      </c>
      <c r="F29" s="6">
        <v>371.3</v>
      </c>
      <c r="G29" s="7">
        <f t="shared" si="3"/>
        <v>0.24626595745640015</v>
      </c>
      <c r="H29" s="7">
        <f t="shared" si="3"/>
        <v>-1.5882496193148403E-2</v>
      </c>
      <c r="I29" s="7">
        <f t="shared" si="4"/>
        <v>0.24677758303225775</v>
      </c>
      <c r="J29" s="134">
        <f t="shared" si="5"/>
        <v>34021668206.108444</v>
      </c>
      <c r="K29" s="145">
        <f t="shared" si="1"/>
        <v>-68.810655468332143</v>
      </c>
      <c r="L29" s="147">
        <f t="shared" si="2"/>
        <v>364.86817303516415</v>
      </c>
      <c r="M29" s="98"/>
      <c r="N29" s="58">
        <f t="shared" si="11"/>
        <v>3.4557519189487724</v>
      </c>
      <c r="O29" s="67">
        <f t="shared" si="6"/>
        <v>-385.1778890995372</v>
      </c>
      <c r="P29" s="55">
        <f t="shared" si="7"/>
        <v>-125.15188272185365</v>
      </c>
      <c r="Q29" s="54">
        <f t="shared" si="8"/>
        <v>-347.13562844773105</v>
      </c>
      <c r="R29" s="71">
        <f t="shared" si="9"/>
        <v>-112.79120294685576</v>
      </c>
      <c r="S29" s="64"/>
      <c r="AA29" s="128"/>
    </row>
    <row r="30" spans="1:27" x14ac:dyDescent="0.2">
      <c r="A30" s="120"/>
      <c r="B30" s="83">
        <f t="shared" si="10"/>
        <v>24</v>
      </c>
      <c r="C30" s="5">
        <v>114.66</v>
      </c>
      <c r="D30" s="27">
        <f t="shared" si="12"/>
        <v>114.66</v>
      </c>
      <c r="E30" s="5">
        <v>2.0299999999999998</v>
      </c>
      <c r="F30" s="6">
        <v>373</v>
      </c>
      <c r="G30" s="7">
        <f t="shared" si="3"/>
        <v>0.24399702942880711</v>
      </c>
      <c r="H30" s="7">
        <f t="shared" si="3"/>
        <v>-1.9024088846738198E-2</v>
      </c>
      <c r="I30" s="7">
        <f t="shared" si="4"/>
        <v>0.24473754580474724</v>
      </c>
      <c r="J30" s="134">
        <f t="shared" si="5"/>
        <v>34050090010.268681</v>
      </c>
      <c r="K30" s="145">
        <f t="shared" si="1"/>
        <v>-155.6278021958384</v>
      </c>
      <c r="L30" s="147">
        <f t="shared" si="2"/>
        <v>338.98228151880295</v>
      </c>
      <c r="M30" s="98"/>
      <c r="N30" s="58">
        <f t="shared" si="11"/>
        <v>3.6128315516282621</v>
      </c>
      <c r="O30" s="67">
        <f t="shared" si="6"/>
        <v>-360.85764229628899</v>
      </c>
      <c r="P30" s="55">
        <f t="shared" si="7"/>
        <v>-183.8661523945164</v>
      </c>
      <c r="Q30" s="54">
        <f t="shared" si="8"/>
        <v>-325.2173813287543</v>
      </c>
      <c r="R30" s="71">
        <f t="shared" si="9"/>
        <v>-165.70653240493453</v>
      </c>
      <c r="S30" s="64"/>
      <c r="AA30" s="128"/>
    </row>
    <row r="31" spans="1:27" x14ac:dyDescent="0.2">
      <c r="A31" s="120"/>
      <c r="B31" s="83">
        <f t="shared" si="10"/>
        <v>25</v>
      </c>
      <c r="C31" s="5">
        <v>128.5</v>
      </c>
      <c r="D31" s="27">
        <f t="shared" si="12"/>
        <v>128.5</v>
      </c>
      <c r="E31" s="5">
        <v>0.84</v>
      </c>
      <c r="F31" s="6">
        <v>375.2</v>
      </c>
      <c r="G31" s="7">
        <f t="shared" si="3"/>
        <v>0.24155356847601528</v>
      </c>
      <c r="H31" s="7">
        <f t="shared" si="3"/>
        <v>-2.076941809873252E-2</v>
      </c>
      <c r="I31" s="7">
        <f t="shared" si="4"/>
        <v>0.24244482912955054</v>
      </c>
      <c r="J31" s="134">
        <f t="shared" si="5"/>
        <v>34130180518.505638</v>
      </c>
      <c r="K31" s="145">
        <f t="shared" si="1"/>
        <v>-233.56749166643479</v>
      </c>
      <c r="L31" s="147">
        <f t="shared" si="2"/>
        <v>293.63458045102573</v>
      </c>
      <c r="M31" s="98"/>
      <c r="N31" s="58">
        <f t="shared" si="11"/>
        <v>3.7699111843077517</v>
      </c>
      <c r="O31" s="67">
        <f t="shared" si="6"/>
        <v>-327.65188272185378</v>
      </c>
      <c r="P31" s="55">
        <f t="shared" si="7"/>
        <v>-238.05302717845157</v>
      </c>
      <c r="Q31" s="54">
        <f t="shared" si="8"/>
        <v>-295.29120294685583</v>
      </c>
      <c r="R31" s="71">
        <f t="shared" si="9"/>
        <v>-214.54161708675267</v>
      </c>
      <c r="S31" s="64"/>
      <c r="AA31" s="128"/>
    </row>
    <row r="32" spans="1:27" x14ac:dyDescent="0.2">
      <c r="A32" s="120"/>
      <c r="B32" s="83">
        <f t="shared" si="10"/>
        <v>26</v>
      </c>
      <c r="C32" s="5">
        <v>142.16999999999999</v>
      </c>
      <c r="D32" s="27">
        <f t="shared" si="12"/>
        <v>142.16999999999999</v>
      </c>
      <c r="E32" s="5">
        <v>-0.39</v>
      </c>
      <c r="F32" s="6">
        <v>377.7</v>
      </c>
      <c r="G32" s="7">
        <f t="shared" si="3"/>
        <v>0.23858650874762463</v>
      </c>
      <c r="H32" s="7">
        <f t="shared" si="3"/>
        <v>-2.1467549799530253E-2</v>
      </c>
      <c r="I32" s="7">
        <f t="shared" si="4"/>
        <v>0.23955036600008708</v>
      </c>
      <c r="J32" s="134">
        <f t="shared" si="5"/>
        <v>34173606032.080555</v>
      </c>
      <c r="K32" s="145">
        <f t="shared" si="1"/>
        <v>-298.32029677461327</v>
      </c>
      <c r="L32" s="147">
        <f t="shared" si="2"/>
        <v>231.65122605396814</v>
      </c>
      <c r="M32" s="98"/>
      <c r="N32" s="58">
        <f t="shared" si="11"/>
        <v>3.9269908169872414</v>
      </c>
      <c r="O32" s="67">
        <f t="shared" si="6"/>
        <v>-286.37824638055179</v>
      </c>
      <c r="P32" s="55">
        <f t="shared" si="7"/>
        <v>-286.37824638055173</v>
      </c>
      <c r="Q32" s="54">
        <f t="shared" si="8"/>
        <v>-258.09397513308988</v>
      </c>
      <c r="R32" s="71">
        <f t="shared" si="9"/>
        <v>-258.09397513308983</v>
      </c>
      <c r="S32" s="64"/>
      <c r="AA32" s="128"/>
    </row>
    <row r="33" spans="1:27" x14ac:dyDescent="0.2">
      <c r="A33" s="120"/>
      <c r="B33" s="83">
        <f t="shared" si="10"/>
        <v>27</v>
      </c>
      <c r="C33" s="5">
        <v>155.68</v>
      </c>
      <c r="D33" s="27">
        <f t="shared" si="12"/>
        <v>155.68</v>
      </c>
      <c r="E33" s="5">
        <v>-1.58</v>
      </c>
      <c r="F33" s="6">
        <v>380.7</v>
      </c>
      <c r="G33" s="7">
        <f t="shared" si="3"/>
        <v>0.23579398194443427</v>
      </c>
      <c r="H33" s="7">
        <f t="shared" si="3"/>
        <v>-2.076941809873252E-2</v>
      </c>
      <c r="I33" s="7">
        <f t="shared" si="4"/>
        <v>0.23670692987188219</v>
      </c>
      <c r="J33" s="134">
        <f t="shared" si="5"/>
        <v>34306524746.587269</v>
      </c>
      <c r="K33" s="145">
        <f t="shared" si="1"/>
        <v>-346.91652039397769</v>
      </c>
      <c r="L33" s="147">
        <f t="shared" si="2"/>
        <v>156.78462258057974</v>
      </c>
      <c r="M33" s="98"/>
      <c r="N33" s="58">
        <f t="shared" si="11"/>
        <v>4.0840704496667311</v>
      </c>
      <c r="O33" s="67">
        <f t="shared" si="6"/>
        <v>-238.05302717845166</v>
      </c>
      <c r="P33" s="55">
        <f t="shared" si="7"/>
        <v>-327.65188272185367</v>
      </c>
      <c r="Q33" s="54">
        <f t="shared" si="8"/>
        <v>-214.54161708675272</v>
      </c>
      <c r="R33" s="71">
        <f t="shared" si="9"/>
        <v>-295.29120294685578</v>
      </c>
      <c r="S33" s="64"/>
      <c r="AA33" s="128"/>
    </row>
    <row r="34" spans="1:27" x14ac:dyDescent="0.2">
      <c r="A34" s="120"/>
      <c r="B34" s="83">
        <f t="shared" si="10"/>
        <v>28</v>
      </c>
      <c r="C34" s="5">
        <v>169</v>
      </c>
      <c r="D34" s="27">
        <f t="shared" si="12"/>
        <v>169</v>
      </c>
      <c r="E34" s="5">
        <v>-2.67</v>
      </c>
      <c r="F34" s="6">
        <v>384</v>
      </c>
      <c r="G34" s="7">
        <f t="shared" si="3"/>
        <v>0.23247785636564458</v>
      </c>
      <c r="H34" s="7">
        <f t="shared" si="3"/>
        <v>-1.9024088846738188E-2</v>
      </c>
      <c r="I34" s="7">
        <f t="shared" si="4"/>
        <v>0.23325494562133911</v>
      </c>
      <c r="J34" s="134">
        <f t="shared" si="5"/>
        <v>34394841261.540184</v>
      </c>
      <c r="K34" s="145">
        <f t="shared" si="1"/>
        <v>-376.944838443903</v>
      </c>
      <c r="L34" s="147">
        <f t="shared" si="2"/>
        <v>73.270654224593272</v>
      </c>
      <c r="M34" s="98"/>
      <c r="N34" s="58">
        <f t="shared" si="11"/>
        <v>4.2411500823462207</v>
      </c>
      <c r="O34" s="67">
        <f t="shared" si="6"/>
        <v>-183.86615239451649</v>
      </c>
      <c r="P34" s="55">
        <f t="shared" si="7"/>
        <v>-360.85764229628893</v>
      </c>
      <c r="Q34" s="54">
        <f t="shared" si="8"/>
        <v>-165.70653240493462</v>
      </c>
      <c r="R34" s="71">
        <f t="shared" si="9"/>
        <v>-325.21738132875424</v>
      </c>
      <c r="S34" s="64"/>
      <c r="AA34" s="128"/>
    </row>
    <row r="35" spans="1:27" x14ac:dyDescent="0.2">
      <c r="A35" s="120"/>
      <c r="B35" s="83">
        <f t="shared" si="10"/>
        <v>29</v>
      </c>
      <c r="C35" s="5">
        <v>182.12</v>
      </c>
      <c r="D35" s="27">
        <f t="shared" si="12"/>
        <v>182.12</v>
      </c>
      <c r="E35" s="5">
        <v>-3.59</v>
      </c>
      <c r="F35" s="6">
        <v>387.6</v>
      </c>
      <c r="G35" s="7">
        <f t="shared" si="3"/>
        <v>0.22898719786165611</v>
      </c>
      <c r="H35" s="7">
        <f t="shared" si="3"/>
        <v>-1.6057029118347832E-2</v>
      </c>
      <c r="I35" s="7">
        <f t="shared" si="4"/>
        <v>0.22954948261462213</v>
      </c>
      <c r="J35" s="134">
        <f t="shared" si="5"/>
        <v>34486081879.249313</v>
      </c>
      <c r="K35" s="118"/>
      <c r="L35" s="55"/>
      <c r="M35" s="98"/>
      <c r="N35" s="58">
        <f t="shared" si="11"/>
        <v>4.3982297150257104</v>
      </c>
      <c r="O35" s="67">
        <f t="shared" si="6"/>
        <v>-125.15188272185377</v>
      </c>
      <c r="P35" s="55">
        <f t="shared" si="7"/>
        <v>-385.1778890995372</v>
      </c>
      <c r="Q35" s="54">
        <f t="shared" si="8"/>
        <v>-112.79120294685586</v>
      </c>
      <c r="R35" s="71">
        <f t="shared" si="9"/>
        <v>-347.13562844773105</v>
      </c>
      <c r="S35" s="4"/>
      <c r="AA35" s="128"/>
    </row>
    <row r="36" spans="1:27" ht="13.5" customHeight="1" x14ac:dyDescent="0.2">
      <c r="A36" s="120"/>
      <c r="B36" s="156">
        <f t="shared" si="10"/>
        <v>30</v>
      </c>
      <c r="C36" s="5">
        <v>195.02</v>
      </c>
      <c r="D36" s="27">
        <f t="shared" si="12"/>
        <v>195.02</v>
      </c>
      <c r="E36" s="5">
        <v>-4.3099999999999996</v>
      </c>
      <c r="F36" s="10">
        <v>391.3</v>
      </c>
      <c r="G36" s="7">
        <f t="shared" si="3"/>
        <v>0.2251474735072686</v>
      </c>
      <c r="H36" s="7">
        <f t="shared" si="3"/>
        <v>-1.2566370614359168E-2</v>
      </c>
      <c r="I36" s="7">
        <f t="shared" si="4"/>
        <v>0.22549789022765523</v>
      </c>
      <c r="J36" s="134">
        <f t="shared" si="5"/>
        <v>34527265055.751694</v>
      </c>
      <c r="K36" s="118"/>
      <c r="L36" s="55"/>
      <c r="M36" s="98"/>
      <c r="N36" s="58">
        <f t="shared" si="11"/>
        <v>4.5553093477052</v>
      </c>
      <c r="O36" s="67">
        <f t="shared" si="6"/>
        <v>-63.355958341293572</v>
      </c>
      <c r="P36" s="55">
        <f t="shared" si="7"/>
        <v>-400.01377794103075</v>
      </c>
      <c r="Q36" s="54">
        <f t="shared" si="8"/>
        <v>-57.098579739684325</v>
      </c>
      <c r="R36" s="71">
        <f t="shared" si="9"/>
        <v>-360.50624431722525</v>
      </c>
      <c r="S36" s="4"/>
      <c r="AA36" s="128"/>
    </row>
    <row r="37" spans="1:27" ht="13.5" thickBot="1" x14ac:dyDescent="0.25">
      <c r="A37" s="120"/>
      <c r="B37" s="157">
        <f t="shared" si="10"/>
        <v>31</v>
      </c>
      <c r="C37" s="99">
        <v>207.68</v>
      </c>
      <c r="D37" s="85">
        <f t="shared" si="12"/>
        <v>207.68</v>
      </c>
      <c r="E37" s="86">
        <v>-4.8</v>
      </c>
      <c r="F37" s="87">
        <v>395</v>
      </c>
      <c r="G37" s="84">
        <f>RADIANS(D37-D36)</f>
        <v>0.22095868330248206</v>
      </c>
      <c r="H37" s="84">
        <f>RADIANS(E37-E36)</f>
        <v>-8.5521133347722187E-3</v>
      </c>
      <c r="I37" s="84">
        <f>SQRT(G37^2+H37^2)</f>
        <v>0.22112412434932863</v>
      </c>
      <c r="J37" s="150">
        <f>I37*F37^2*1000000</f>
        <v>34500891501.603996</v>
      </c>
      <c r="K37" s="118"/>
      <c r="L37" s="55"/>
      <c r="M37" s="98"/>
      <c r="N37" s="58">
        <f t="shared" si="11"/>
        <v>4.7123889803846897</v>
      </c>
      <c r="O37" s="67">
        <f t="shared" si="6"/>
        <v>-7.4427768635698666E-14</v>
      </c>
      <c r="P37" s="55">
        <f t="shared" si="7"/>
        <v>-405</v>
      </c>
      <c r="Q37" s="54">
        <f t="shared" si="8"/>
        <v>-6.7076877906246946E-14</v>
      </c>
      <c r="R37" s="71">
        <f t="shared" si="9"/>
        <v>-365</v>
      </c>
      <c r="S37" s="4"/>
      <c r="AA37" s="128"/>
    </row>
    <row r="38" spans="1:27" ht="13.5" customHeight="1" thickBot="1" x14ac:dyDescent="0.35">
      <c r="A38" s="120"/>
      <c r="B38" s="158" t="s">
        <v>35</v>
      </c>
      <c r="C38" s="186" t="s">
        <v>13</v>
      </c>
      <c r="D38" s="151">
        <v>404214</v>
      </c>
      <c r="E38" s="151" t="s">
        <v>7</v>
      </c>
      <c r="F38" s="152" t="s">
        <v>51</v>
      </c>
      <c r="G38" s="188" t="s">
        <v>14</v>
      </c>
      <c r="H38" s="151">
        <v>368886</v>
      </c>
      <c r="I38" s="152" t="s">
        <v>52</v>
      </c>
      <c r="J38" s="153" t="s">
        <v>85</v>
      </c>
      <c r="K38" s="154">
        <f>($D$38-$H$38)/($D$38+$H$38)</f>
        <v>4.5696546371750094E-2</v>
      </c>
      <c r="L38" s="155"/>
      <c r="M38" s="11"/>
      <c r="N38" s="58">
        <f>N37+PI()/20</f>
        <v>4.8694686130641793</v>
      </c>
      <c r="O38" s="67">
        <f t="shared" si="6"/>
        <v>63.355958341293423</v>
      </c>
      <c r="P38" s="55">
        <f t="shared" si="7"/>
        <v>-400.01377794103081</v>
      </c>
      <c r="Q38" s="54">
        <f t="shared" si="8"/>
        <v>57.098579739684197</v>
      </c>
      <c r="R38" s="71">
        <f t="shared" si="9"/>
        <v>-360.50624431722531</v>
      </c>
      <c r="S38" s="4"/>
    </row>
    <row r="39" spans="1:27" ht="13.5" customHeight="1" thickBot="1" x14ac:dyDescent="0.25">
      <c r="A39" s="120"/>
      <c r="I39" s="13"/>
      <c r="J39" s="13"/>
      <c r="L39" s="13"/>
      <c r="N39" s="58">
        <f t="shared" si="11"/>
        <v>5.026548245743669</v>
      </c>
      <c r="O39" s="67">
        <f t="shared" si="6"/>
        <v>125.15188272185362</v>
      </c>
      <c r="P39" s="55">
        <f t="shared" si="7"/>
        <v>-385.1778890995372</v>
      </c>
      <c r="Q39" s="54">
        <f t="shared" si="8"/>
        <v>112.79120294685573</v>
      </c>
      <c r="R39" s="71">
        <f t="shared" si="9"/>
        <v>-347.13562844773105</v>
      </c>
      <c r="S39" s="4"/>
      <c r="T39" s="274" t="s">
        <v>82</v>
      </c>
      <c r="U39" s="369" t="s">
        <v>37</v>
      </c>
      <c r="V39" s="283" t="s">
        <v>80</v>
      </c>
      <c r="W39" s="283" t="s">
        <v>25</v>
      </c>
      <c r="X39" s="366" t="s">
        <v>26</v>
      </c>
    </row>
    <row r="40" spans="1:27" x14ac:dyDescent="0.2">
      <c r="A40" s="90"/>
      <c r="C40" s="40"/>
      <c r="D40" s="12"/>
      <c r="E40" s="4"/>
      <c r="F40" s="4"/>
      <c r="G40" s="389" t="s">
        <v>87</v>
      </c>
      <c r="H40" s="390"/>
      <c r="I40" s="367" t="s">
        <v>25</v>
      </c>
      <c r="J40" s="368" t="s">
        <v>26</v>
      </c>
      <c r="K40" s="93"/>
      <c r="L40" s="13"/>
      <c r="N40" s="58">
        <f t="shared" si="11"/>
        <v>5.1836278784231586</v>
      </c>
      <c r="O40" s="67">
        <f t="shared" si="6"/>
        <v>183.86615239451638</v>
      </c>
      <c r="P40" s="55">
        <f t="shared" si="7"/>
        <v>-360.85764229628899</v>
      </c>
      <c r="Q40" s="54">
        <f t="shared" si="8"/>
        <v>165.70653240493453</v>
      </c>
      <c r="R40" s="71">
        <f t="shared" si="9"/>
        <v>-325.2173813287543</v>
      </c>
      <c r="S40" s="4"/>
      <c r="T40" s="279" t="s">
        <v>79</v>
      </c>
      <c r="U40" s="275">
        <f>248.35+16/24*(260.22-248.35)</f>
        <v>256.26333333333332</v>
      </c>
      <c r="V40" s="281">
        <v>404.214</v>
      </c>
      <c r="W40" s="284">
        <f>V40*COS(RADIANS(U40))</f>
        <v>-95.984593515447216</v>
      </c>
      <c r="X40" s="276">
        <f>V40*SIN(RADIANS(U40))</f>
        <v>-392.65241066835995</v>
      </c>
    </row>
    <row r="41" spans="1:27" ht="13.5" thickBot="1" x14ac:dyDescent="0.25">
      <c r="A41" s="29"/>
      <c r="G41" s="376" t="s">
        <v>20</v>
      </c>
      <c r="H41" s="377"/>
      <c r="I41" s="290">
        <v>0</v>
      </c>
      <c r="J41" s="286">
        <v>0</v>
      </c>
      <c r="K41" s="13"/>
      <c r="L41" s="300"/>
      <c r="N41" s="58">
        <f t="shared" si="11"/>
        <v>5.3407075111026483</v>
      </c>
      <c r="O41" s="67">
        <f t="shared" si="6"/>
        <v>238.05302717845154</v>
      </c>
      <c r="P41" s="55">
        <f t="shared" si="7"/>
        <v>-327.65188272185378</v>
      </c>
      <c r="Q41" s="54">
        <f t="shared" si="8"/>
        <v>214.54161708675261</v>
      </c>
      <c r="R41" s="71">
        <f t="shared" si="9"/>
        <v>-295.29120294685583</v>
      </c>
      <c r="S41" s="4"/>
      <c r="T41" s="280" t="s">
        <v>81</v>
      </c>
      <c r="U41" s="277">
        <f>58.04+4/24*(72.34-58.04)</f>
        <v>60.423333333333332</v>
      </c>
      <c r="V41" s="282">
        <v>368.88600000000002</v>
      </c>
      <c r="W41" s="285">
        <f>V41*COS(RADIANS(U41))</f>
        <v>182.07760317809669</v>
      </c>
      <c r="X41" s="278">
        <f>V41*SIN(RADIANS(U41))</f>
        <v>320.8186830858196</v>
      </c>
    </row>
    <row r="42" spans="1:27" x14ac:dyDescent="0.2">
      <c r="A42" s="29"/>
      <c r="G42" s="376" t="s">
        <v>22</v>
      </c>
      <c r="H42" s="377"/>
      <c r="I42" s="290">
        <v>-42</v>
      </c>
      <c r="J42" s="286">
        <v>0</v>
      </c>
      <c r="K42" s="13"/>
      <c r="L42" s="13"/>
      <c r="N42" s="58">
        <f t="shared" si="11"/>
        <v>5.497787143782138</v>
      </c>
      <c r="O42" s="67">
        <f t="shared" si="6"/>
        <v>286.37824638055167</v>
      </c>
      <c r="P42" s="55">
        <f t="shared" si="7"/>
        <v>-286.37824638055179</v>
      </c>
      <c r="Q42" s="54">
        <f t="shared" si="8"/>
        <v>258.09397513308977</v>
      </c>
      <c r="R42" s="71">
        <f t="shared" si="9"/>
        <v>-258.09397513308988</v>
      </c>
      <c r="S42" s="4"/>
      <c r="X42" s="273"/>
      <c r="Y42" s="273"/>
      <c r="Z42" s="273"/>
      <c r="AA42" s="273"/>
    </row>
    <row r="43" spans="1:27" ht="13.5" thickBot="1" x14ac:dyDescent="0.25">
      <c r="A43" s="29"/>
      <c r="G43" s="378" t="s">
        <v>21</v>
      </c>
      <c r="H43" s="379"/>
      <c r="I43" s="291">
        <v>138</v>
      </c>
      <c r="J43" s="294">
        <v>0</v>
      </c>
      <c r="K43" s="13"/>
      <c r="L43" s="13"/>
      <c r="N43" s="58">
        <f t="shared" si="11"/>
        <v>5.6548667764616276</v>
      </c>
      <c r="O43" s="67">
        <f t="shared" si="6"/>
        <v>327.65188272185367</v>
      </c>
      <c r="P43" s="55">
        <f t="shared" si="7"/>
        <v>-238.05302717845171</v>
      </c>
      <c r="Q43" s="54">
        <f t="shared" si="8"/>
        <v>295.29120294685578</v>
      </c>
      <c r="R43" s="71">
        <f t="shared" si="9"/>
        <v>-214.54161708675278</v>
      </c>
      <c r="S43" s="4"/>
      <c r="X43" s="273"/>
      <c r="Y43" s="273"/>
      <c r="Z43" s="273"/>
      <c r="AA43" s="273"/>
    </row>
    <row r="44" spans="1:27" ht="14.25" x14ac:dyDescent="0.2">
      <c r="A44" s="29"/>
      <c r="B44" s="14"/>
      <c r="G44" s="372" t="s">
        <v>19</v>
      </c>
      <c r="H44" s="373"/>
      <c r="I44" s="295">
        <f>B21</f>
        <v>15</v>
      </c>
      <c r="J44" s="286">
        <f>C21</f>
        <v>347.68</v>
      </c>
      <c r="K44" s="13"/>
      <c r="L44" s="13"/>
      <c r="N44" s="58">
        <f t="shared" si="11"/>
        <v>5.8119464091411173</v>
      </c>
      <c r="O44" s="67">
        <f t="shared" si="6"/>
        <v>360.85764229628893</v>
      </c>
      <c r="P44" s="55">
        <f t="shared" si="7"/>
        <v>-183.86615239451652</v>
      </c>
      <c r="Q44" s="54">
        <f t="shared" si="8"/>
        <v>325.21738132875424</v>
      </c>
      <c r="R44" s="71">
        <f t="shared" si="9"/>
        <v>-165.70653240493465</v>
      </c>
      <c r="X44" s="273"/>
      <c r="Y44" s="273"/>
      <c r="Z44" s="273"/>
      <c r="AA44" s="273"/>
    </row>
    <row r="45" spans="1:27" ht="13.5" thickBot="1" x14ac:dyDescent="0.25">
      <c r="A45" s="29"/>
      <c r="G45" s="374" t="s">
        <v>86</v>
      </c>
      <c r="H45" s="375"/>
      <c r="I45" s="291">
        <f>B22</f>
        <v>16</v>
      </c>
      <c r="J45" s="292">
        <f>C22+360</f>
        <v>361.35</v>
      </c>
      <c r="K45" s="13"/>
      <c r="L45" s="13"/>
      <c r="N45" s="58">
        <f>N44+PI()/20</f>
        <v>5.9690260418206069</v>
      </c>
      <c r="O45" s="67">
        <f t="shared" si="6"/>
        <v>385.1778890995372</v>
      </c>
      <c r="P45" s="55">
        <f t="shared" si="7"/>
        <v>-125.15188272185378</v>
      </c>
      <c r="Q45" s="54">
        <f t="shared" si="8"/>
        <v>347.13562844773105</v>
      </c>
      <c r="R45" s="71">
        <f t="shared" si="9"/>
        <v>-112.79120294685588</v>
      </c>
      <c r="X45" s="273"/>
      <c r="Y45" s="273"/>
      <c r="Z45" s="273"/>
      <c r="AA45" s="273"/>
    </row>
    <row r="46" spans="1:27" x14ac:dyDescent="0.2">
      <c r="A46" s="29"/>
      <c r="E46" s="4"/>
      <c r="F46" s="4"/>
      <c r="G46" s="4"/>
      <c r="H46" s="4"/>
      <c r="I46" s="13"/>
      <c r="J46" s="13"/>
      <c r="K46" s="13"/>
      <c r="L46" s="13"/>
      <c r="N46" s="58">
        <f>N45+PI()/20</f>
        <v>6.1261056745000966</v>
      </c>
      <c r="O46" s="67">
        <f t="shared" si="6"/>
        <v>400.01377794103075</v>
      </c>
      <c r="P46" s="55">
        <f t="shared" si="7"/>
        <v>-63.355958341293601</v>
      </c>
      <c r="Q46" s="54">
        <f t="shared" si="8"/>
        <v>360.50624431722525</v>
      </c>
      <c r="R46" s="71">
        <f t="shared" si="9"/>
        <v>-57.098579739684361</v>
      </c>
    </row>
    <row r="47" spans="1:27" ht="13.5" thickBot="1" x14ac:dyDescent="0.25">
      <c r="A47" s="29"/>
      <c r="E47" s="12"/>
      <c r="F47" s="12"/>
      <c r="G47" s="12"/>
      <c r="H47" s="12"/>
      <c r="I47" s="13"/>
      <c r="J47" s="13"/>
      <c r="K47" s="13"/>
      <c r="L47" s="13"/>
      <c r="N47" s="59">
        <f t="shared" si="11"/>
        <v>6.2831853071795862</v>
      </c>
      <c r="O47" s="68">
        <f t="shared" si="6"/>
        <v>405</v>
      </c>
      <c r="P47" s="57">
        <f t="shared" si="7"/>
        <v>-9.9237024847598221E-14</v>
      </c>
      <c r="Q47" s="56">
        <f t="shared" si="8"/>
        <v>365</v>
      </c>
      <c r="R47" s="72">
        <f t="shared" si="9"/>
        <v>-8.9435837208329261E-14</v>
      </c>
    </row>
    <row r="48" spans="1:27" x14ac:dyDescent="0.2">
      <c r="A48" s="29"/>
      <c r="E48" s="11"/>
      <c r="F48" s="11"/>
      <c r="G48" s="11"/>
      <c r="H48" s="11"/>
      <c r="I48" s="13"/>
      <c r="J48" s="13"/>
      <c r="K48" s="13"/>
      <c r="L48" s="13"/>
    </row>
    <row r="49" spans="1:12" x14ac:dyDescent="0.2">
      <c r="A49" s="29"/>
      <c r="E49" s="11"/>
      <c r="F49" s="11"/>
      <c r="G49" s="11"/>
      <c r="H49" s="11"/>
      <c r="I49" s="13"/>
      <c r="J49" s="13"/>
      <c r="K49" s="13"/>
      <c r="L49" s="13"/>
    </row>
    <row r="50" spans="1:12" x14ac:dyDescent="0.2">
      <c r="A50" s="29"/>
      <c r="E50" s="11"/>
      <c r="F50" s="11"/>
      <c r="G50" s="11"/>
      <c r="H50" s="11"/>
      <c r="I50" s="13"/>
      <c r="J50" s="13"/>
      <c r="K50" s="13"/>
      <c r="L50" s="13"/>
    </row>
    <row r="51" spans="1:12" x14ac:dyDescent="0.2">
      <c r="A51" s="29"/>
      <c r="E51" s="11"/>
      <c r="F51" s="11"/>
      <c r="G51" s="11"/>
      <c r="H51" s="11"/>
      <c r="I51" s="13"/>
      <c r="J51" s="13"/>
      <c r="K51" s="13"/>
      <c r="L51" s="13"/>
    </row>
    <row r="52" spans="1:12" x14ac:dyDescent="0.2">
      <c r="A52" s="29"/>
      <c r="E52" s="11"/>
      <c r="F52" s="11"/>
      <c r="G52" s="11"/>
      <c r="H52" s="11"/>
      <c r="I52" s="13"/>
      <c r="J52" s="13"/>
      <c r="K52" s="13"/>
      <c r="L52" s="13"/>
    </row>
    <row r="53" spans="1:12" x14ac:dyDescent="0.2">
      <c r="A53" s="29"/>
      <c r="E53" s="11"/>
      <c r="F53" s="11"/>
      <c r="G53" s="11"/>
      <c r="H53" s="11"/>
      <c r="I53" s="13"/>
      <c r="J53" s="13"/>
      <c r="K53" s="13"/>
      <c r="L53" s="13"/>
    </row>
    <row r="54" spans="1:12" x14ac:dyDescent="0.2">
      <c r="A54" s="29"/>
      <c r="E54" s="11"/>
      <c r="F54" s="11"/>
      <c r="G54" s="11"/>
      <c r="H54" s="11"/>
      <c r="I54" s="13"/>
      <c r="J54" s="13"/>
      <c r="K54" s="13"/>
      <c r="L54" s="13"/>
    </row>
    <row r="55" spans="1:12" x14ac:dyDescent="0.2">
      <c r="A55" s="29"/>
      <c r="E55" s="11"/>
      <c r="F55" s="11"/>
      <c r="G55" s="11"/>
      <c r="H55" s="11"/>
      <c r="I55" s="13"/>
      <c r="J55" s="13"/>
      <c r="K55" s="13"/>
      <c r="L55" s="13"/>
    </row>
    <row r="56" spans="1:12" x14ac:dyDescent="0.2">
      <c r="A56" s="29"/>
      <c r="E56" s="11"/>
      <c r="F56" s="11"/>
      <c r="G56" s="11"/>
      <c r="H56" s="11"/>
      <c r="I56" s="13"/>
      <c r="J56" s="13"/>
      <c r="K56" s="13"/>
      <c r="L56" s="13"/>
    </row>
    <row r="57" spans="1:12" x14ac:dyDescent="0.2">
      <c r="A57" s="29"/>
      <c r="E57" s="11"/>
      <c r="F57" s="11"/>
      <c r="G57" s="11"/>
      <c r="H57" s="11"/>
      <c r="I57" s="13"/>
      <c r="J57" s="13"/>
      <c r="K57" s="13"/>
      <c r="L57" s="13"/>
    </row>
    <row r="58" spans="1:12" x14ac:dyDescent="0.2">
      <c r="A58" s="29"/>
      <c r="E58" s="11"/>
      <c r="F58" s="11"/>
      <c r="G58" s="11"/>
      <c r="H58" s="11"/>
      <c r="I58" s="13"/>
      <c r="J58" s="13"/>
      <c r="K58" s="13"/>
      <c r="L58" s="13"/>
    </row>
    <row r="59" spans="1:12" x14ac:dyDescent="0.2">
      <c r="A59" s="29"/>
      <c r="E59" s="11"/>
      <c r="F59" s="11"/>
      <c r="G59" s="11"/>
      <c r="H59" s="11"/>
      <c r="I59" s="13"/>
      <c r="J59" s="13"/>
      <c r="K59" s="13"/>
      <c r="L59" s="13"/>
    </row>
    <row r="86" spans="2:18" x14ac:dyDescent="0.2">
      <c r="B86" s="217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</row>
    <row r="87" spans="2:18" ht="15" x14ac:dyDescent="0.25">
      <c r="B87" s="218"/>
      <c r="C87" s="210"/>
      <c r="D87" s="210"/>
      <c r="E87" s="210"/>
      <c r="F87" s="210"/>
      <c r="G87" s="211"/>
      <c r="H87" s="211"/>
      <c r="I87" s="212"/>
      <c r="J87" s="162"/>
      <c r="K87" s="213"/>
      <c r="L87" s="210"/>
      <c r="M87" s="250"/>
      <c r="N87" s="251"/>
      <c r="O87" s="209"/>
      <c r="P87" s="210"/>
      <c r="Q87" s="209"/>
      <c r="R87" s="209"/>
    </row>
    <row r="88" spans="2:18" x14ac:dyDescent="0.2">
      <c r="B88" s="162"/>
      <c r="C88" s="162"/>
      <c r="D88" s="162"/>
      <c r="E88" s="219"/>
      <c r="F88" s="220"/>
      <c r="G88" s="73"/>
      <c r="H88" s="73"/>
      <c r="I88" s="170"/>
      <c r="J88" s="73"/>
      <c r="K88" s="221"/>
      <c r="L88" s="192"/>
      <c r="M88" s="162"/>
      <c r="N88" s="222"/>
      <c r="O88" s="222"/>
      <c r="P88" s="219"/>
      <c r="Q88" s="162"/>
      <c r="R88" s="222"/>
    </row>
    <row r="89" spans="2:18" x14ac:dyDescent="0.2">
      <c r="B89" s="123"/>
      <c r="C89" s="223"/>
      <c r="D89" s="162"/>
      <c r="E89" s="219"/>
      <c r="F89" s="216"/>
      <c r="G89" s="214"/>
      <c r="H89" s="214"/>
      <c r="I89" s="224"/>
      <c r="J89" s="215"/>
      <c r="K89" s="170"/>
      <c r="L89" s="225"/>
      <c r="M89" s="226"/>
      <c r="N89" s="222"/>
      <c r="O89" s="123"/>
      <c r="P89" s="219"/>
      <c r="Q89" s="162"/>
      <c r="R89" s="123"/>
    </row>
    <row r="90" spans="2:18" x14ac:dyDescent="0.2">
      <c r="B90" s="123"/>
      <c r="C90" s="98"/>
      <c r="D90" s="98"/>
      <c r="E90" s="227"/>
      <c r="F90" s="216"/>
      <c r="G90" s="228"/>
      <c r="H90" s="228"/>
      <c r="I90" s="228"/>
      <c r="J90" s="229"/>
      <c r="K90" s="98"/>
      <c r="L90" s="98"/>
      <c r="M90" s="123"/>
      <c r="N90" s="98"/>
      <c r="O90" s="98"/>
      <c r="P90" s="123"/>
      <c r="Q90" s="98"/>
      <c r="R90" s="98"/>
    </row>
    <row r="91" spans="2:18" x14ac:dyDescent="0.2">
      <c r="B91" s="123"/>
      <c r="C91" s="98"/>
      <c r="D91" s="98"/>
      <c r="E91" s="227"/>
      <c r="F91" s="216"/>
      <c r="G91" s="228"/>
      <c r="H91" s="228"/>
      <c r="I91" s="228"/>
      <c r="J91" s="229"/>
      <c r="K91" s="98"/>
      <c r="L91" s="98"/>
      <c r="M91" s="123"/>
      <c r="N91" s="98"/>
      <c r="O91" s="98"/>
      <c r="P91" s="123"/>
      <c r="Q91" s="98"/>
      <c r="R91" s="98"/>
    </row>
    <row r="92" spans="2:18" x14ac:dyDescent="0.2">
      <c r="B92" s="123"/>
      <c r="C92" s="98"/>
      <c r="D92" s="98"/>
      <c r="E92" s="227"/>
      <c r="F92" s="216"/>
      <c r="G92" s="228"/>
      <c r="H92" s="228"/>
      <c r="I92" s="228"/>
      <c r="J92" s="229"/>
      <c r="K92" s="98"/>
      <c r="L92" s="98"/>
      <c r="M92" s="123"/>
      <c r="N92" s="98"/>
      <c r="O92" s="98"/>
      <c r="P92" s="123"/>
      <c r="Q92" s="98"/>
      <c r="R92" s="98"/>
    </row>
    <row r="93" spans="2:18" x14ac:dyDescent="0.2">
      <c r="B93" s="123"/>
      <c r="C93" s="98"/>
      <c r="D93" s="98"/>
      <c r="E93" s="227"/>
      <c r="F93" s="216"/>
      <c r="G93" s="228"/>
      <c r="H93" s="228"/>
      <c r="I93" s="228"/>
      <c r="J93" s="229"/>
      <c r="K93" s="98"/>
      <c r="L93" s="98"/>
      <c r="M93" s="123"/>
      <c r="N93" s="98"/>
      <c r="O93" s="98"/>
      <c r="P93" s="123"/>
      <c r="Q93" s="98"/>
      <c r="R93" s="98"/>
    </row>
    <row r="94" spans="2:18" x14ac:dyDescent="0.2">
      <c r="B94" s="123"/>
      <c r="C94" s="98"/>
      <c r="D94" s="98"/>
      <c r="E94" s="227"/>
      <c r="F94" s="216"/>
      <c r="G94" s="228"/>
      <c r="H94" s="228"/>
      <c r="I94" s="228"/>
      <c r="J94" s="229"/>
      <c r="K94" s="98"/>
      <c r="L94" s="98"/>
      <c r="M94" s="123"/>
      <c r="N94" s="98"/>
      <c r="O94" s="98"/>
      <c r="P94" s="123"/>
      <c r="Q94" s="98"/>
      <c r="R94" s="98"/>
    </row>
    <row r="95" spans="2:18" x14ac:dyDescent="0.2">
      <c r="B95" s="123"/>
      <c r="C95" s="98"/>
      <c r="D95" s="98"/>
      <c r="E95" s="227"/>
      <c r="F95" s="216"/>
      <c r="G95" s="228"/>
      <c r="H95" s="228"/>
      <c r="I95" s="228"/>
      <c r="J95" s="229"/>
      <c r="K95" s="98"/>
      <c r="L95" s="98"/>
      <c r="M95" s="123"/>
      <c r="N95" s="98"/>
      <c r="O95" s="98"/>
      <c r="P95" s="123"/>
      <c r="Q95" s="98"/>
      <c r="R95" s="98"/>
    </row>
    <row r="96" spans="2:18" x14ac:dyDescent="0.2">
      <c r="B96" s="123"/>
      <c r="C96" s="98"/>
      <c r="D96" s="98"/>
      <c r="E96" s="227"/>
      <c r="F96" s="216"/>
      <c r="G96" s="228"/>
      <c r="H96" s="228"/>
      <c r="I96" s="228"/>
      <c r="J96" s="229"/>
      <c r="K96" s="98"/>
      <c r="L96" s="98"/>
      <c r="M96" s="123"/>
      <c r="N96" s="98"/>
      <c r="O96" s="98"/>
      <c r="P96" s="123"/>
      <c r="Q96" s="98"/>
      <c r="R96" s="98"/>
    </row>
    <row r="97" spans="2:18" x14ac:dyDescent="0.2">
      <c r="B97" s="123"/>
      <c r="C97" s="98"/>
      <c r="D97" s="98"/>
      <c r="E97" s="227"/>
      <c r="F97" s="216"/>
      <c r="G97" s="228"/>
      <c r="H97" s="228"/>
      <c r="I97" s="228"/>
      <c r="J97" s="229"/>
      <c r="K97" s="98"/>
      <c r="L97" s="98"/>
      <c r="M97" s="123"/>
      <c r="N97" s="98"/>
      <c r="O97" s="98"/>
      <c r="P97" s="123"/>
      <c r="Q97" s="98"/>
      <c r="R97" s="98"/>
    </row>
    <row r="98" spans="2:18" x14ac:dyDescent="0.2">
      <c r="B98" s="123"/>
      <c r="C98" s="98"/>
      <c r="D98" s="98"/>
      <c r="E98" s="227"/>
      <c r="F98" s="216"/>
      <c r="G98" s="228"/>
      <c r="H98" s="228"/>
      <c r="I98" s="228"/>
      <c r="J98" s="229"/>
      <c r="K98" s="98"/>
      <c r="L98" s="98"/>
      <c r="M98" s="123"/>
      <c r="N98" s="98"/>
      <c r="O98" s="98"/>
      <c r="P98" s="123"/>
      <c r="Q98" s="98"/>
      <c r="R98" s="98"/>
    </row>
    <row r="99" spans="2:18" x14ac:dyDescent="0.2">
      <c r="B99" s="123"/>
      <c r="C99" s="98"/>
      <c r="D99" s="98"/>
      <c r="E99" s="227"/>
      <c r="F99" s="216"/>
      <c r="G99" s="228"/>
      <c r="H99" s="228"/>
      <c r="I99" s="228"/>
      <c r="J99" s="229"/>
      <c r="K99" s="98"/>
      <c r="L99" s="98"/>
      <c r="M99" s="123"/>
      <c r="N99" s="98"/>
      <c r="O99" s="98"/>
      <c r="P99" s="123"/>
      <c r="Q99" s="98"/>
      <c r="R99" s="98"/>
    </row>
    <row r="100" spans="2:18" x14ac:dyDescent="0.2">
      <c r="B100" s="123"/>
      <c r="C100" s="98"/>
      <c r="D100" s="98"/>
      <c r="E100" s="227"/>
      <c r="F100" s="216"/>
      <c r="G100" s="228"/>
      <c r="H100" s="228"/>
      <c r="I100" s="228"/>
      <c r="J100" s="229"/>
      <c r="K100" s="98"/>
      <c r="L100" s="98"/>
      <c r="M100" s="123"/>
      <c r="N100" s="98"/>
      <c r="O100" s="98"/>
      <c r="P100" s="123"/>
      <c r="Q100" s="98"/>
      <c r="R100" s="98"/>
    </row>
    <row r="101" spans="2:18" x14ac:dyDescent="0.2">
      <c r="B101" s="123"/>
      <c r="C101" s="98"/>
      <c r="D101" s="98"/>
      <c r="E101" s="227"/>
      <c r="F101" s="216"/>
      <c r="G101" s="228"/>
      <c r="H101" s="228"/>
      <c r="I101" s="228"/>
      <c r="J101" s="229"/>
      <c r="K101" s="98"/>
      <c r="L101" s="98"/>
      <c r="M101" s="123"/>
      <c r="N101" s="98"/>
      <c r="O101" s="98"/>
      <c r="P101" s="123"/>
      <c r="Q101" s="98"/>
      <c r="R101" s="98"/>
    </row>
    <row r="102" spans="2:18" x14ac:dyDescent="0.2">
      <c r="B102" s="123"/>
      <c r="C102" s="98"/>
      <c r="D102" s="98"/>
      <c r="E102" s="227"/>
      <c r="F102" s="216"/>
      <c r="G102" s="228"/>
      <c r="H102" s="228"/>
      <c r="I102" s="228"/>
      <c r="J102" s="229"/>
      <c r="K102" s="98"/>
      <c r="L102" s="98"/>
      <c r="M102" s="123"/>
      <c r="N102" s="98"/>
      <c r="O102" s="98"/>
      <c r="P102" s="123"/>
      <c r="Q102" s="98"/>
      <c r="R102" s="98"/>
    </row>
    <row r="103" spans="2:18" x14ac:dyDescent="0.2">
      <c r="B103" s="123"/>
      <c r="C103" s="98"/>
      <c r="D103" s="98"/>
      <c r="E103" s="227"/>
      <c r="F103" s="216"/>
      <c r="G103" s="228"/>
      <c r="H103" s="228"/>
      <c r="I103" s="228"/>
      <c r="J103" s="229"/>
      <c r="K103" s="98"/>
      <c r="L103" s="98"/>
      <c r="M103" s="123"/>
      <c r="N103" s="98"/>
      <c r="O103" s="98"/>
      <c r="P103" s="123"/>
      <c r="Q103" s="230"/>
      <c r="R103" s="98"/>
    </row>
    <row r="104" spans="2:18" x14ac:dyDescent="0.2">
      <c r="B104" s="123"/>
      <c r="C104" s="98"/>
      <c r="D104" s="98"/>
      <c r="E104" s="227"/>
      <c r="F104" s="216"/>
      <c r="G104" s="228"/>
      <c r="H104" s="228"/>
      <c r="I104" s="228"/>
      <c r="J104" s="229"/>
      <c r="K104" s="98"/>
      <c r="L104" s="98"/>
      <c r="M104" s="123"/>
      <c r="N104" s="123"/>
      <c r="O104" s="123"/>
      <c r="P104" s="123"/>
      <c r="Q104" s="123"/>
      <c r="R104" s="123"/>
    </row>
    <row r="105" spans="2:18" x14ac:dyDescent="0.2">
      <c r="B105" s="123"/>
      <c r="C105" s="98"/>
      <c r="D105" s="98"/>
      <c r="E105" s="227"/>
      <c r="F105" s="216"/>
      <c r="G105" s="228"/>
      <c r="H105" s="228"/>
      <c r="I105" s="228"/>
      <c r="J105" s="229"/>
      <c r="K105" s="98"/>
      <c r="L105" s="98"/>
      <c r="M105" s="123"/>
      <c r="N105" s="123"/>
      <c r="O105" s="123"/>
      <c r="P105" s="123"/>
      <c r="Q105" s="123"/>
      <c r="R105" s="123"/>
    </row>
    <row r="106" spans="2:18" x14ac:dyDescent="0.2">
      <c r="B106" s="123"/>
      <c r="C106" s="98"/>
      <c r="D106" s="98"/>
      <c r="E106" s="227"/>
      <c r="F106" s="216"/>
      <c r="G106" s="228"/>
      <c r="H106" s="228"/>
      <c r="I106" s="228"/>
      <c r="J106" s="229"/>
      <c r="K106" s="98"/>
      <c r="L106" s="98"/>
      <c r="M106" s="123"/>
      <c r="N106" s="123"/>
      <c r="O106" s="123"/>
      <c r="P106" s="123"/>
      <c r="Q106" s="123"/>
      <c r="R106" s="123"/>
    </row>
    <row r="107" spans="2:18" x14ac:dyDescent="0.2">
      <c r="B107" s="123"/>
      <c r="C107" s="98"/>
      <c r="D107" s="98"/>
      <c r="E107" s="227"/>
      <c r="F107" s="216"/>
      <c r="G107" s="228"/>
      <c r="H107" s="228"/>
      <c r="I107" s="228"/>
      <c r="J107" s="229"/>
      <c r="K107" s="98"/>
      <c r="L107" s="98"/>
      <c r="M107" s="123"/>
      <c r="N107" s="123"/>
      <c r="O107" s="123"/>
      <c r="P107" s="123"/>
      <c r="Q107" s="123"/>
      <c r="R107" s="123"/>
    </row>
    <row r="108" spans="2:18" x14ac:dyDescent="0.2">
      <c r="B108" s="123"/>
      <c r="C108" s="98"/>
      <c r="D108" s="98"/>
      <c r="E108" s="227"/>
      <c r="F108" s="144"/>
      <c r="G108" s="228"/>
      <c r="H108" s="228"/>
      <c r="I108" s="228"/>
      <c r="J108" s="229"/>
      <c r="K108" s="98"/>
      <c r="L108" s="98"/>
      <c r="M108" s="123"/>
      <c r="N108" s="123"/>
      <c r="O108" s="123"/>
      <c r="P108" s="123"/>
      <c r="Q108" s="123"/>
      <c r="R108" s="123"/>
    </row>
    <row r="109" spans="2:18" x14ac:dyDescent="0.2">
      <c r="B109" s="123"/>
      <c r="C109" s="98"/>
      <c r="D109" s="98"/>
      <c r="E109" s="227"/>
      <c r="F109" s="216"/>
      <c r="G109" s="228"/>
      <c r="H109" s="228"/>
      <c r="I109" s="228"/>
      <c r="J109" s="229"/>
      <c r="K109" s="98"/>
      <c r="L109" s="98"/>
      <c r="M109" s="123"/>
      <c r="N109" s="123"/>
      <c r="O109" s="123"/>
      <c r="P109" s="123"/>
      <c r="Q109" s="123"/>
      <c r="R109" s="123"/>
    </row>
    <row r="110" spans="2:18" x14ac:dyDescent="0.2">
      <c r="B110" s="123"/>
      <c r="C110" s="98"/>
      <c r="D110" s="98"/>
      <c r="E110" s="227"/>
      <c r="F110" s="216"/>
      <c r="G110" s="228"/>
      <c r="H110" s="228"/>
      <c r="I110" s="228"/>
      <c r="J110" s="229"/>
      <c r="K110" s="98"/>
      <c r="L110" s="98"/>
      <c r="M110" s="123"/>
      <c r="N110" s="123"/>
      <c r="O110" s="123"/>
      <c r="P110" s="123"/>
      <c r="Q110" s="123"/>
      <c r="R110" s="123"/>
    </row>
    <row r="111" spans="2:18" x14ac:dyDescent="0.2">
      <c r="B111" s="123"/>
      <c r="C111" s="98"/>
      <c r="D111" s="98"/>
      <c r="E111" s="227"/>
      <c r="F111" s="216"/>
      <c r="G111" s="228"/>
      <c r="H111" s="228"/>
      <c r="I111" s="228"/>
      <c r="J111" s="229"/>
      <c r="K111" s="98"/>
      <c r="L111" s="98"/>
      <c r="M111" s="123"/>
      <c r="N111" s="123"/>
      <c r="O111" s="123"/>
      <c r="P111" s="123"/>
      <c r="Q111" s="123"/>
      <c r="R111" s="123"/>
    </row>
    <row r="112" spans="2:18" x14ac:dyDescent="0.2">
      <c r="B112" s="123"/>
      <c r="C112" s="98"/>
      <c r="D112" s="98"/>
      <c r="E112" s="227"/>
      <c r="F112" s="216"/>
      <c r="G112" s="228"/>
      <c r="H112" s="228"/>
      <c r="I112" s="228"/>
      <c r="J112" s="229"/>
      <c r="K112" s="98"/>
      <c r="L112" s="98"/>
      <c r="M112" s="123"/>
      <c r="N112" s="123"/>
      <c r="O112" s="123"/>
      <c r="P112" s="123"/>
      <c r="Q112" s="123"/>
      <c r="R112" s="123"/>
    </row>
    <row r="113" spans="1:22" x14ac:dyDescent="0.2">
      <c r="B113" s="123"/>
      <c r="C113" s="98"/>
      <c r="D113" s="98"/>
      <c r="E113" s="227"/>
      <c r="F113" s="216"/>
      <c r="G113" s="228"/>
      <c r="H113" s="228"/>
      <c r="I113" s="228"/>
      <c r="J113" s="229"/>
      <c r="K113" s="98"/>
      <c r="L113" s="98"/>
      <c r="M113" s="123"/>
      <c r="N113" s="123"/>
      <c r="O113" s="123"/>
      <c r="P113" s="123"/>
      <c r="Q113" s="123"/>
      <c r="R113" s="123"/>
    </row>
    <row r="114" spans="1:22" x14ac:dyDescent="0.2">
      <c r="B114" s="123"/>
      <c r="C114" s="98"/>
      <c r="D114" s="98"/>
      <c r="E114" s="227"/>
      <c r="F114" s="216"/>
      <c r="G114" s="228"/>
      <c r="H114" s="228"/>
      <c r="I114" s="228"/>
      <c r="J114" s="229"/>
      <c r="K114" s="98"/>
      <c r="L114" s="98"/>
      <c r="M114" s="123"/>
      <c r="N114" s="144"/>
      <c r="O114" s="98"/>
      <c r="P114" s="123"/>
      <c r="Q114" s="123"/>
      <c r="R114" s="123"/>
      <c r="S114" s="123"/>
      <c r="T114" s="123"/>
      <c r="U114" s="123"/>
      <c r="V114" s="123"/>
    </row>
    <row r="115" spans="1:22" x14ac:dyDescent="0.2">
      <c r="B115" s="123"/>
      <c r="C115" s="98"/>
      <c r="D115" s="98"/>
      <c r="E115" s="227"/>
      <c r="F115" s="216"/>
      <c r="G115" s="228"/>
      <c r="H115" s="228"/>
      <c r="I115" s="228"/>
      <c r="J115" s="229"/>
      <c r="K115" s="98"/>
      <c r="L115" s="98"/>
      <c r="M115" s="123"/>
      <c r="N115" s="144"/>
      <c r="O115" s="98"/>
      <c r="P115" s="123"/>
      <c r="Q115" s="123"/>
      <c r="R115" s="123"/>
      <c r="S115" s="123"/>
      <c r="T115" s="123"/>
      <c r="U115" s="123"/>
      <c r="V115" s="123"/>
    </row>
    <row r="116" spans="1:22" x14ac:dyDescent="0.2">
      <c r="B116" s="123"/>
      <c r="C116" s="98"/>
      <c r="D116" s="98"/>
      <c r="E116" s="227"/>
      <c r="F116" s="216"/>
      <c r="G116" s="228"/>
      <c r="H116" s="228"/>
      <c r="I116" s="228"/>
      <c r="J116" s="229"/>
      <c r="K116" s="98"/>
      <c r="L116" s="98"/>
      <c r="M116" s="123"/>
      <c r="N116" s="144"/>
      <c r="O116" s="98"/>
      <c r="P116" s="123"/>
      <c r="Q116" s="123"/>
      <c r="R116" s="123"/>
      <c r="S116" s="123"/>
      <c r="T116" s="123"/>
      <c r="U116" s="123"/>
      <c r="V116" s="123"/>
    </row>
    <row r="117" spans="1:22" x14ac:dyDescent="0.2">
      <c r="B117" s="123"/>
      <c r="C117" s="98"/>
      <c r="D117" s="98"/>
      <c r="E117" s="227"/>
      <c r="F117" s="216"/>
      <c r="G117" s="228"/>
      <c r="H117" s="228"/>
      <c r="I117" s="228"/>
      <c r="J117" s="229"/>
      <c r="K117" s="98"/>
      <c r="L117" s="98"/>
      <c r="M117" s="123"/>
      <c r="N117" s="144"/>
      <c r="O117" s="98"/>
      <c r="P117" s="123"/>
      <c r="Q117" s="123"/>
      <c r="R117" s="123"/>
      <c r="S117" s="123"/>
      <c r="T117" s="123"/>
      <c r="U117" s="123"/>
      <c r="V117" s="123"/>
    </row>
    <row r="118" spans="1:22" x14ac:dyDescent="0.2">
      <c r="B118" s="123"/>
      <c r="C118" s="98"/>
      <c r="D118" s="98"/>
      <c r="E118" s="227"/>
      <c r="F118" s="216"/>
      <c r="G118" s="228"/>
      <c r="H118" s="228"/>
      <c r="I118" s="228"/>
      <c r="J118" s="229"/>
      <c r="K118" s="98"/>
      <c r="L118" s="98"/>
      <c r="M118" s="123"/>
      <c r="N118" s="144"/>
      <c r="O118" s="98"/>
      <c r="P118" s="123"/>
      <c r="Q118" s="123"/>
      <c r="R118" s="123"/>
      <c r="S118" s="123"/>
      <c r="T118" s="123"/>
      <c r="U118" s="123"/>
      <c r="V118" s="123"/>
    </row>
    <row r="119" spans="1:22" x14ac:dyDescent="0.2">
      <c r="B119" s="123"/>
      <c r="C119" s="98"/>
      <c r="D119" s="98"/>
      <c r="E119" s="227"/>
      <c r="F119" s="231"/>
      <c r="G119" s="228"/>
      <c r="H119" s="228"/>
      <c r="I119" s="228"/>
      <c r="J119" s="229"/>
      <c r="K119" s="98"/>
      <c r="L119" s="98"/>
      <c r="M119" s="123"/>
      <c r="N119" s="144"/>
      <c r="O119" s="98"/>
      <c r="P119" s="123"/>
      <c r="Q119" s="123"/>
      <c r="R119" s="123"/>
      <c r="S119" s="123"/>
      <c r="T119" s="123"/>
      <c r="U119" s="123"/>
      <c r="V119" s="123"/>
    </row>
    <row r="120" spans="1:22" x14ac:dyDescent="0.2">
      <c r="B120" s="123"/>
      <c r="C120" s="98"/>
      <c r="D120" s="98"/>
      <c r="E120" s="98"/>
      <c r="F120" s="216"/>
      <c r="G120" s="228"/>
      <c r="H120" s="228"/>
      <c r="I120" s="228"/>
      <c r="J120" s="229"/>
      <c r="K120" s="98"/>
      <c r="L120" s="98"/>
      <c r="M120" s="142"/>
      <c r="N120" s="144"/>
      <c r="O120" s="142"/>
      <c r="P120" s="123"/>
      <c r="Q120" s="123"/>
      <c r="R120" s="123"/>
      <c r="S120" s="123"/>
      <c r="T120" s="123"/>
      <c r="U120" s="142"/>
      <c r="V120" s="142"/>
    </row>
    <row r="121" spans="1:22" x14ac:dyDescent="0.2">
      <c r="B121" s="232"/>
      <c r="C121" s="233"/>
      <c r="D121" s="234"/>
      <c r="E121" s="235"/>
      <c r="F121" s="234"/>
      <c r="G121" s="142"/>
      <c r="H121" s="142"/>
      <c r="I121" s="236"/>
      <c r="J121" s="237"/>
      <c r="K121" s="224"/>
      <c r="L121" s="237"/>
      <c r="M121" s="142"/>
      <c r="N121" s="142"/>
      <c r="O121" s="142"/>
      <c r="P121" s="142"/>
      <c r="Q121" s="123"/>
      <c r="R121" s="123"/>
      <c r="S121" s="123"/>
      <c r="T121" s="123"/>
      <c r="U121" s="142"/>
      <c r="V121" s="142"/>
    </row>
    <row r="122" spans="1:22" x14ac:dyDescent="0.2">
      <c r="B122" s="142"/>
      <c r="C122" s="233"/>
      <c r="D122" s="162"/>
      <c r="E122" s="174"/>
      <c r="F122" s="162"/>
      <c r="G122" s="238"/>
      <c r="H122" s="239"/>
      <c r="I122" s="236"/>
      <c r="J122" s="236"/>
      <c r="K122" s="142"/>
      <c r="L122" s="236"/>
      <c r="M122" s="142"/>
      <c r="N122" s="142"/>
      <c r="O122" s="142"/>
      <c r="P122" s="142"/>
      <c r="Q122" s="123"/>
      <c r="R122" s="123"/>
      <c r="S122" s="123"/>
      <c r="T122" s="123"/>
      <c r="U122" s="142"/>
      <c r="V122" s="142"/>
    </row>
    <row r="123" spans="1:22" x14ac:dyDescent="0.2"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23"/>
      <c r="R123" s="123"/>
      <c r="S123" s="123"/>
      <c r="T123" s="123"/>
      <c r="U123" s="142"/>
      <c r="V123" s="142"/>
    </row>
    <row r="124" spans="1:22" x14ac:dyDescent="0.2">
      <c r="B124" s="142"/>
      <c r="C124" s="142"/>
      <c r="D124" s="142"/>
      <c r="E124" s="142"/>
      <c r="F124" s="142"/>
      <c r="G124" s="370"/>
      <c r="H124" s="370"/>
      <c r="I124" s="231"/>
      <c r="J124" s="240"/>
      <c r="K124" s="142"/>
      <c r="L124" s="142"/>
      <c r="M124" s="142"/>
      <c r="N124" s="142"/>
      <c r="O124" s="142"/>
      <c r="P124" s="142"/>
      <c r="Q124" s="123"/>
      <c r="R124" s="123"/>
      <c r="S124" s="123"/>
      <c r="T124" s="123"/>
      <c r="U124" s="142"/>
      <c r="V124" s="142"/>
    </row>
    <row r="125" spans="1:22" x14ac:dyDescent="0.2">
      <c r="B125" s="123"/>
      <c r="C125" s="142"/>
      <c r="D125" s="142"/>
      <c r="E125" s="142"/>
      <c r="F125" s="142"/>
      <c r="G125" s="370"/>
      <c r="H125" s="370"/>
      <c r="I125" s="231"/>
      <c r="J125" s="240"/>
      <c r="K125" s="142"/>
      <c r="L125" s="142"/>
      <c r="M125" s="142"/>
      <c r="N125" s="142"/>
      <c r="O125" s="142"/>
      <c r="P125" s="142"/>
      <c r="Q125" s="123"/>
      <c r="R125" s="123"/>
      <c r="S125" s="123"/>
      <c r="T125" s="123"/>
      <c r="U125" s="142"/>
      <c r="V125" s="142"/>
    </row>
    <row r="126" spans="1:22" x14ac:dyDescent="0.2">
      <c r="B126" s="123"/>
      <c r="C126" s="142"/>
      <c r="D126" s="142"/>
      <c r="E126" s="142"/>
      <c r="F126" s="142"/>
      <c r="G126" s="123"/>
      <c r="H126" s="123"/>
      <c r="I126" s="231"/>
      <c r="J126" s="240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</row>
    <row r="127" spans="1:22" x14ac:dyDescent="0.2">
      <c r="A127" s="130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225"/>
      <c r="M127" s="222"/>
      <c r="N127" s="123"/>
      <c r="O127" s="123"/>
      <c r="P127" s="142"/>
      <c r="Q127" s="142"/>
      <c r="R127" s="142"/>
      <c r="S127" s="142"/>
      <c r="T127" s="142"/>
      <c r="U127" s="142"/>
      <c r="V127" s="142"/>
    </row>
    <row r="128" spans="1:22" ht="15.75" x14ac:dyDescent="0.25">
      <c r="A128" s="120"/>
      <c r="B128" s="142"/>
      <c r="C128" s="252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09"/>
    </row>
    <row r="129" spans="1:22" ht="15.75" x14ac:dyDescent="0.25">
      <c r="A129" s="120"/>
      <c r="B129" s="142"/>
      <c r="C129" s="241"/>
      <c r="D129" s="209"/>
      <c r="E129" s="209"/>
      <c r="F129" s="209"/>
      <c r="G129" s="209"/>
      <c r="H129" s="242"/>
      <c r="I129" s="242"/>
      <c r="J129" s="242"/>
      <c r="K129" s="209"/>
      <c r="L129" s="209"/>
      <c r="M129" s="209"/>
      <c r="N129" s="209"/>
      <c r="O129" s="209"/>
      <c r="P129" s="209"/>
      <c r="Q129" s="209"/>
      <c r="R129" s="209"/>
      <c r="S129" s="209"/>
      <c r="T129" s="209"/>
      <c r="U129" s="209"/>
      <c r="V129" s="209"/>
    </row>
    <row r="130" spans="1:22" ht="15" x14ac:dyDescent="0.25">
      <c r="A130" s="120"/>
      <c r="B130" s="218"/>
      <c r="C130" s="210"/>
      <c r="D130" s="210"/>
      <c r="E130" s="210"/>
      <c r="F130" s="210"/>
      <c r="G130" s="211"/>
      <c r="H130" s="211"/>
      <c r="I130" s="212"/>
      <c r="J130" s="162"/>
      <c r="K130" s="213"/>
      <c r="L130" s="210"/>
      <c r="M130" s="209"/>
      <c r="N130" s="209"/>
      <c r="O130" s="209"/>
      <c r="P130" s="209"/>
      <c r="Q130" s="209"/>
      <c r="R130" s="253"/>
      <c r="S130" s="209"/>
      <c r="T130" s="209"/>
      <c r="U130" s="162"/>
      <c r="V130" s="162"/>
    </row>
    <row r="131" spans="1:22" x14ac:dyDescent="0.2">
      <c r="A131" s="120"/>
      <c r="B131" s="162"/>
      <c r="C131" s="162"/>
      <c r="D131" s="162"/>
      <c r="E131" s="162"/>
      <c r="F131" s="254"/>
      <c r="G131" s="73"/>
      <c r="H131" s="73"/>
      <c r="I131" s="169"/>
      <c r="J131" s="73"/>
      <c r="K131" s="255"/>
      <c r="L131" s="192"/>
      <c r="M131" s="143"/>
      <c r="N131" s="123"/>
      <c r="O131" s="123"/>
      <c r="P131" s="123"/>
      <c r="Q131" s="123"/>
      <c r="R131" s="243"/>
      <c r="S131" s="123"/>
      <c r="T131" s="123"/>
      <c r="U131" s="123"/>
      <c r="V131" s="123"/>
    </row>
    <row r="132" spans="1:22" x14ac:dyDescent="0.2">
      <c r="A132" s="120"/>
      <c r="B132" s="123"/>
      <c r="C132" s="209"/>
      <c r="D132" s="162"/>
      <c r="E132" s="123"/>
      <c r="F132" s="216"/>
      <c r="G132" s="214"/>
      <c r="H132" s="214"/>
      <c r="I132" s="224"/>
      <c r="J132" s="215"/>
      <c r="K132" s="169"/>
      <c r="L132" s="225"/>
      <c r="M132" s="209"/>
      <c r="N132" s="209"/>
      <c r="O132" s="209"/>
      <c r="P132" s="209"/>
      <c r="Q132" s="209"/>
      <c r="R132" s="169"/>
      <c r="S132" s="209"/>
      <c r="T132" s="209"/>
      <c r="U132" s="209"/>
      <c r="V132" s="209"/>
    </row>
    <row r="133" spans="1:22" x14ac:dyDescent="0.2">
      <c r="A133" s="120"/>
      <c r="B133" s="123"/>
      <c r="C133" s="98"/>
      <c r="D133" s="98"/>
      <c r="E133" s="98"/>
      <c r="F133" s="216"/>
      <c r="G133" s="228"/>
      <c r="H133" s="228"/>
      <c r="I133" s="228"/>
      <c r="J133" s="229"/>
      <c r="K133" s="98"/>
      <c r="L133" s="98"/>
      <c r="M133" s="98"/>
      <c r="N133" s="144"/>
      <c r="O133" s="144"/>
      <c r="P133" s="144"/>
      <c r="Q133" s="144"/>
      <c r="R133" s="98"/>
      <c r="S133" s="144"/>
      <c r="T133" s="144"/>
      <c r="U133" s="144"/>
      <c r="V133" s="144"/>
    </row>
    <row r="134" spans="1:22" x14ac:dyDescent="0.2">
      <c r="A134" s="120"/>
      <c r="B134" s="123"/>
      <c r="C134" s="98"/>
      <c r="D134" s="98"/>
      <c r="E134" s="98"/>
      <c r="F134" s="216"/>
      <c r="G134" s="228"/>
      <c r="H134" s="228"/>
      <c r="I134" s="228"/>
      <c r="J134" s="229"/>
      <c r="K134" s="98"/>
      <c r="L134" s="98"/>
      <c r="M134" s="98"/>
      <c r="N134" s="144"/>
      <c r="O134" s="144"/>
      <c r="P134" s="144"/>
      <c r="Q134" s="144"/>
      <c r="R134" s="98"/>
      <c r="S134" s="144"/>
      <c r="T134" s="144"/>
      <c r="U134" s="144"/>
      <c r="V134" s="144"/>
    </row>
    <row r="135" spans="1:22" x14ac:dyDescent="0.2">
      <c r="A135" s="120"/>
      <c r="B135" s="123"/>
      <c r="C135" s="98"/>
      <c r="D135" s="98"/>
      <c r="E135" s="98"/>
      <c r="F135" s="216"/>
      <c r="G135" s="228"/>
      <c r="H135" s="228"/>
      <c r="I135" s="228"/>
      <c r="J135" s="229"/>
      <c r="K135" s="98"/>
      <c r="L135" s="98"/>
      <c r="M135" s="98"/>
      <c r="N135" s="144"/>
      <c r="O135" s="144"/>
      <c r="P135" s="144"/>
      <c r="Q135" s="144"/>
      <c r="R135" s="98"/>
      <c r="S135" s="144"/>
      <c r="T135" s="144"/>
      <c r="U135" s="144"/>
      <c r="V135" s="144"/>
    </row>
    <row r="136" spans="1:22" x14ac:dyDescent="0.2">
      <c r="A136" s="120"/>
      <c r="B136" s="123"/>
      <c r="C136" s="98"/>
      <c r="D136" s="98"/>
      <c r="E136" s="98"/>
      <c r="F136" s="216"/>
      <c r="G136" s="228"/>
      <c r="H136" s="228"/>
      <c r="I136" s="228"/>
      <c r="J136" s="229"/>
      <c r="K136" s="98"/>
      <c r="L136" s="98"/>
      <c r="M136" s="98"/>
      <c r="N136" s="144"/>
      <c r="O136" s="144"/>
      <c r="P136" s="144"/>
      <c r="Q136" s="144"/>
      <c r="R136" s="98"/>
      <c r="S136" s="144"/>
      <c r="T136" s="144"/>
      <c r="U136" s="144"/>
      <c r="V136" s="144"/>
    </row>
    <row r="137" spans="1:22" x14ac:dyDescent="0.2">
      <c r="A137" s="120"/>
      <c r="B137" s="123"/>
      <c r="C137" s="98"/>
      <c r="D137" s="98"/>
      <c r="E137" s="98"/>
      <c r="F137" s="216"/>
      <c r="G137" s="228"/>
      <c r="H137" s="228"/>
      <c r="I137" s="228"/>
      <c r="J137" s="229"/>
      <c r="K137" s="98"/>
      <c r="L137" s="98"/>
      <c r="M137" s="98"/>
      <c r="N137" s="144"/>
      <c r="O137" s="144"/>
      <c r="P137" s="144"/>
      <c r="Q137" s="144"/>
      <c r="R137" s="98"/>
      <c r="S137" s="144"/>
      <c r="T137" s="144"/>
      <c r="U137" s="144"/>
      <c r="V137" s="144"/>
    </row>
    <row r="138" spans="1:22" x14ac:dyDescent="0.2">
      <c r="A138" s="120"/>
      <c r="B138" s="123"/>
      <c r="C138" s="98"/>
      <c r="D138" s="98"/>
      <c r="E138" s="98"/>
      <c r="F138" s="216"/>
      <c r="G138" s="228"/>
      <c r="H138" s="228"/>
      <c r="I138" s="228"/>
      <c r="J138" s="229"/>
      <c r="K138" s="98"/>
      <c r="L138" s="98"/>
      <c r="M138" s="98"/>
      <c r="N138" s="144"/>
      <c r="O138" s="144"/>
      <c r="P138" s="144"/>
      <c r="Q138" s="144"/>
      <c r="R138" s="98"/>
      <c r="S138" s="144"/>
      <c r="T138" s="144"/>
      <c r="U138" s="144"/>
      <c r="V138" s="144"/>
    </row>
    <row r="139" spans="1:22" x14ac:dyDescent="0.2">
      <c r="A139" s="120"/>
      <c r="B139" s="123"/>
      <c r="C139" s="98"/>
      <c r="D139" s="98"/>
      <c r="E139" s="98"/>
      <c r="F139" s="216"/>
      <c r="G139" s="228"/>
      <c r="H139" s="228"/>
      <c r="I139" s="228"/>
      <c r="J139" s="229"/>
      <c r="K139" s="98"/>
      <c r="L139" s="98"/>
      <c r="M139" s="98"/>
      <c r="N139" s="144"/>
      <c r="O139" s="144"/>
      <c r="P139" s="144"/>
      <c r="Q139" s="144"/>
      <c r="R139" s="98"/>
      <c r="S139" s="144"/>
      <c r="T139" s="144"/>
      <c r="U139" s="144"/>
      <c r="V139" s="144"/>
    </row>
    <row r="140" spans="1:22" x14ac:dyDescent="0.2">
      <c r="A140" s="120"/>
      <c r="B140" s="123"/>
      <c r="C140" s="98"/>
      <c r="D140" s="98"/>
      <c r="E140" s="98"/>
      <c r="F140" s="216"/>
      <c r="G140" s="228"/>
      <c r="H140" s="228"/>
      <c r="I140" s="228"/>
      <c r="J140" s="229"/>
      <c r="K140" s="98"/>
      <c r="L140" s="98"/>
      <c r="M140" s="244"/>
      <c r="N140" s="144"/>
      <c r="O140" s="144"/>
      <c r="P140" s="144"/>
      <c r="Q140" s="144"/>
      <c r="R140" s="98"/>
      <c r="S140" s="144"/>
      <c r="T140" s="144"/>
      <c r="U140" s="144"/>
      <c r="V140" s="144"/>
    </row>
    <row r="141" spans="1:22" x14ac:dyDescent="0.2">
      <c r="A141" s="120"/>
      <c r="B141" s="123"/>
      <c r="C141" s="98"/>
      <c r="D141" s="98"/>
      <c r="E141" s="98"/>
      <c r="F141" s="216"/>
      <c r="G141" s="228"/>
      <c r="H141" s="228"/>
      <c r="I141" s="228"/>
      <c r="J141" s="229"/>
      <c r="K141" s="98"/>
      <c r="L141" s="98"/>
      <c r="M141" s="98"/>
      <c r="N141" s="144"/>
      <c r="O141" s="144"/>
      <c r="P141" s="144"/>
      <c r="Q141" s="144"/>
      <c r="R141" s="98"/>
      <c r="S141" s="144"/>
      <c r="T141" s="144"/>
      <c r="U141" s="144"/>
      <c r="V141" s="144"/>
    </row>
    <row r="142" spans="1:22" x14ac:dyDescent="0.2">
      <c r="A142" s="120"/>
      <c r="B142" s="123"/>
      <c r="C142" s="98"/>
      <c r="D142" s="98"/>
      <c r="E142" s="98"/>
      <c r="F142" s="216"/>
      <c r="G142" s="228"/>
      <c r="H142" s="228"/>
      <c r="I142" s="228"/>
      <c r="J142" s="229"/>
      <c r="K142" s="98"/>
      <c r="L142" s="98"/>
      <c r="M142" s="98"/>
      <c r="N142" s="144"/>
      <c r="O142" s="144"/>
      <c r="P142" s="144"/>
      <c r="Q142" s="144"/>
      <c r="R142" s="98"/>
      <c r="S142" s="144"/>
      <c r="T142" s="144"/>
      <c r="U142" s="144"/>
      <c r="V142" s="144"/>
    </row>
    <row r="143" spans="1:22" x14ac:dyDescent="0.2">
      <c r="A143" s="120"/>
      <c r="B143" s="123"/>
      <c r="C143" s="98"/>
      <c r="D143" s="98"/>
      <c r="E143" s="98"/>
      <c r="F143" s="216"/>
      <c r="G143" s="228"/>
      <c r="H143" s="228"/>
      <c r="I143" s="228"/>
      <c r="J143" s="229"/>
      <c r="K143" s="98"/>
      <c r="L143" s="98"/>
      <c r="M143" s="98"/>
      <c r="N143" s="144"/>
      <c r="O143" s="144"/>
      <c r="P143" s="144"/>
      <c r="Q143" s="144"/>
      <c r="R143" s="98"/>
      <c r="S143" s="144"/>
      <c r="T143" s="144"/>
      <c r="U143" s="144"/>
      <c r="V143" s="144"/>
    </row>
    <row r="144" spans="1:22" x14ac:dyDescent="0.2">
      <c r="A144" s="120"/>
      <c r="B144" s="123"/>
      <c r="C144" s="98"/>
      <c r="D144" s="98"/>
      <c r="E144" s="98"/>
      <c r="F144" s="216"/>
      <c r="G144" s="228"/>
      <c r="H144" s="228"/>
      <c r="I144" s="228"/>
      <c r="J144" s="229"/>
      <c r="K144" s="98"/>
      <c r="L144" s="98"/>
      <c r="M144" s="98"/>
      <c r="N144" s="144"/>
      <c r="O144" s="144"/>
      <c r="P144" s="144"/>
      <c r="Q144" s="144"/>
      <c r="R144" s="98"/>
      <c r="S144" s="144"/>
      <c r="T144" s="144"/>
      <c r="U144" s="144"/>
      <c r="V144" s="144"/>
    </row>
    <row r="145" spans="1:22" x14ac:dyDescent="0.2">
      <c r="A145" s="120"/>
      <c r="B145" s="123"/>
      <c r="C145" s="98"/>
      <c r="D145" s="98"/>
      <c r="E145" s="98"/>
      <c r="F145" s="216"/>
      <c r="G145" s="228"/>
      <c r="H145" s="228"/>
      <c r="I145" s="228"/>
      <c r="J145" s="229"/>
      <c r="K145" s="98"/>
      <c r="L145" s="98"/>
      <c r="M145" s="98"/>
      <c r="N145" s="144"/>
      <c r="O145" s="144"/>
      <c r="P145" s="144"/>
      <c r="Q145" s="144"/>
      <c r="R145" s="98"/>
      <c r="S145" s="144"/>
      <c r="T145" s="144"/>
      <c r="U145" s="144"/>
      <c r="V145" s="144"/>
    </row>
    <row r="146" spans="1:22" x14ac:dyDescent="0.2">
      <c r="A146" s="120"/>
      <c r="B146" s="123"/>
      <c r="C146" s="98"/>
      <c r="D146" s="98"/>
      <c r="E146" s="98"/>
      <c r="F146" s="216"/>
      <c r="G146" s="228"/>
      <c r="H146" s="228"/>
      <c r="I146" s="228"/>
      <c r="J146" s="229"/>
      <c r="K146" s="98"/>
      <c r="L146" s="98"/>
      <c r="M146" s="98"/>
      <c r="N146" s="144"/>
      <c r="O146" s="144"/>
      <c r="P146" s="144"/>
      <c r="Q146" s="144"/>
      <c r="R146" s="98"/>
      <c r="S146" s="144"/>
      <c r="T146" s="144"/>
      <c r="U146" s="144"/>
      <c r="V146" s="144"/>
    </row>
    <row r="147" spans="1:22" x14ac:dyDescent="0.2">
      <c r="A147" s="120"/>
      <c r="B147" s="123"/>
      <c r="C147" s="98"/>
      <c r="D147" s="98"/>
      <c r="E147" s="98"/>
      <c r="F147" s="216"/>
      <c r="G147" s="228"/>
      <c r="H147" s="228"/>
      <c r="I147" s="228"/>
      <c r="J147" s="229"/>
      <c r="K147" s="98"/>
      <c r="L147" s="98"/>
      <c r="M147" s="98"/>
      <c r="N147" s="144"/>
      <c r="O147" s="144"/>
      <c r="P147" s="144"/>
      <c r="Q147" s="144"/>
      <c r="R147" s="98"/>
      <c r="S147" s="144"/>
      <c r="T147" s="144"/>
      <c r="U147" s="144"/>
      <c r="V147" s="144"/>
    </row>
    <row r="148" spans="1:22" x14ac:dyDescent="0.2">
      <c r="A148" s="120"/>
      <c r="B148" s="123"/>
      <c r="C148" s="98"/>
      <c r="D148" s="98"/>
      <c r="E148" s="98"/>
      <c r="F148" s="216"/>
      <c r="G148" s="228"/>
      <c r="H148" s="228"/>
      <c r="I148" s="228"/>
      <c r="J148" s="229"/>
      <c r="K148" s="98"/>
      <c r="L148" s="98"/>
      <c r="M148" s="98"/>
      <c r="N148" s="144"/>
      <c r="O148" s="144"/>
      <c r="P148" s="144"/>
      <c r="Q148" s="144"/>
      <c r="R148" s="98"/>
      <c r="S148" s="144"/>
      <c r="T148" s="144"/>
      <c r="U148" s="144"/>
      <c r="V148" s="144"/>
    </row>
    <row r="149" spans="1:22" x14ac:dyDescent="0.2">
      <c r="A149" s="120"/>
      <c r="B149" s="123"/>
      <c r="C149" s="98"/>
      <c r="D149" s="98"/>
      <c r="E149" s="98"/>
      <c r="F149" s="216"/>
      <c r="G149" s="228"/>
      <c r="H149" s="228"/>
      <c r="I149" s="228"/>
      <c r="J149" s="229"/>
      <c r="K149" s="98"/>
      <c r="L149" s="98"/>
      <c r="M149" s="98"/>
      <c r="N149" s="144"/>
      <c r="O149" s="144"/>
      <c r="P149" s="144"/>
      <c r="Q149" s="144"/>
      <c r="R149" s="98"/>
      <c r="S149" s="144"/>
      <c r="T149" s="144"/>
      <c r="U149" s="144"/>
      <c r="V149" s="144"/>
    </row>
    <row r="150" spans="1:22" x14ac:dyDescent="0.2">
      <c r="A150" s="120"/>
      <c r="B150" s="123"/>
      <c r="C150" s="98"/>
      <c r="D150" s="98"/>
      <c r="E150" s="98"/>
      <c r="F150" s="216"/>
      <c r="G150" s="228"/>
      <c r="H150" s="228"/>
      <c r="I150" s="228"/>
      <c r="J150" s="229"/>
      <c r="K150" s="98"/>
      <c r="L150" s="98"/>
      <c r="M150" s="98"/>
      <c r="N150" s="144"/>
      <c r="O150" s="144"/>
      <c r="P150" s="144"/>
      <c r="Q150" s="144"/>
      <c r="R150" s="98"/>
      <c r="S150" s="144"/>
      <c r="T150" s="144"/>
      <c r="U150" s="144"/>
      <c r="V150" s="144"/>
    </row>
    <row r="151" spans="1:22" x14ac:dyDescent="0.2">
      <c r="A151" s="120"/>
      <c r="B151" s="123"/>
      <c r="C151" s="98"/>
      <c r="D151" s="98"/>
      <c r="E151" s="98"/>
      <c r="F151" s="144"/>
      <c r="G151" s="228"/>
      <c r="H151" s="228"/>
      <c r="I151" s="228"/>
      <c r="J151" s="229"/>
      <c r="K151" s="98"/>
      <c r="L151" s="98"/>
      <c r="M151" s="98"/>
      <c r="N151" s="144"/>
      <c r="O151" s="144"/>
      <c r="P151" s="144"/>
      <c r="Q151" s="144"/>
      <c r="R151" s="98"/>
      <c r="S151" s="144"/>
      <c r="T151" s="144"/>
      <c r="U151" s="144"/>
      <c r="V151" s="144"/>
    </row>
    <row r="152" spans="1:22" x14ac:dyDescent="0.2">
      <c r="A152" s="120"/>
      <c r="B152" s="123"/>
      <c r="C152" s="98"/>
      <c r="D152" s="98"/>
      <c r="E152" s="98"/>
      <c r="F152" s="216"/>
      <c r="G152" s="228"/>
      <c r="H152" s="228"/>
      <c r="I152" s="228"/>
      <c r="J152" s="229"/>
      <c r="K152" s="98"/>
      <c r="L152" s="98"/>
      <c r="M152" s="244"/>
      <c r="N152" s="144"/>
      <c r="O152" s="144"/>
      <c r="P152" s="144"/>
      <c r="Q152" s="144"/>
      <c r="R152" s="98"/>
      <c r="S152" s="144"/>
      <c r="T152" s="144"/>
      <c r="U152" s="144"/>
      <c r="V152" s="144"/>
    </row>
    <row r="153" spans="1:22" x14ac:dyDescent="0.2">
      <c r="A153" s="120"/>
      <c r="B153" s="123"/>
      <c r="C153" s="98"/>
      <c r="D153" s="98"/>
      <c r="E153" s="98"/>
      <c r="F153" s="216"/>
      <c r="G153" s="228"/>
      <c r="H153" s="228"/>
      <c r="I153" s="228"/>
      <c r="J153" s="229"/>
      <c r="K153" s="98"/>
      <c r="L153" s="98"/>
      <c r="M153" s="98"/>
      <c r="N153" s="144"/>
      <c r="O153" s="144"/>
      <c r="P153" s="144"/>
      <c r="Q153" s="144"/>
      <c r="R153" s="98"/>
      <c r="S153" s="144"/>
      <c r="T153" s="144"/>
      <c r="U153" s="144"/>
      <c r="V153" s="144"/>
    </row>
    <row r="154" spans="1:22" x14ac:dyDescent="0.2">
      <c r="A154" s="120"/>
      <c r="B154" s="123"/>
      <c r="C154" s="98"/>
      <c r="D154" s="98"/>
      <c r="E154" s="98"/>
      <c r="F154" s="216"/>
      <c r="G154" s="228"/>
      <c r="H154" s="228"/>
      <c r="I154" s="228"/>
      <c r="J154" s="229"/>
      <c r="K154" s="98"/>
      <c r="L154" s="98"/>
      <c r="M154" s="98"/>
      <c r="N154" s="144"/>
      <c r="O154" s="144"/>
      <c r="P154" s="144"/>
      <c r="Q154" s="144"/>
      <c r="R154" s="98"/>
      <c r="S154" s="144"/>
      <c r="T154" s="144"/>
      <c r="U154" s="144"/>
      <c r="V154" s="144"/>
    </row>
    <row r="155" spans="1:22" x14ac:dyDescent="0.2">
      <c r="A155" s="120"/>
      <c r="B155" s="123"/>
      <c r="C155" s="98"/>
      <c r="D155" s="98"/>
      <c r="E155" s="98"/>
      <c r="F155" s="216"/>
      <c r="G155" s="228"/>
      <c r="H155" s="228"/>
      <c r="I155" s="228"/>
      <c r="J155" s="229"/>
      <c r="K155" s="98"/>
      <c r="L155" s="98"/>
      <c r="M155" s="98"/>
      <c r="N155" s="144"/>
      <c r="O155" s="144"/>
      <c r="P155" s="144"/>
      <c r="Q155" s="144"/>
      <c r="R155" s="98"/>
      <c r="S155" s="144"/>
      <c r="T155" s="144"/>
      <c r="U155" s="144"/>
      <c r="V155" s="144"/>
    </row>
    <row r="156" spans="1:22" x14ac:dyDescent="0.2">
      <c r="A156" s="120"/>
      <c r="B156" s="123"/>
      <c r="C156" s="98"/>
      <c r="D156" s="98"/>
      <c r="E156" s="98"/>
      <c r="F156" s="216"/>
      <c r="G156" s="228"/>
      <c r="H156" s="228"/>
      <c r="I156" s="228"/>
      <c r="J156" s="229"/>
      <c r="K156" s="98"/>
      <c r="L156" s="98"/>
      <c r="M156" s="98"/>
      <c r="N156" s="144"/>
      <c r="O156" s="144"/>
      <c r="P156" s="144"/>
      <c r="Q156" s="144"/>
      <c r="R156" s="98"/>
      <c r="S156" s="144"/>
      <c r="T156" s="144"/>
      <c r="U156" s="144"/>
      <c r="V156" s="144"/>
    </row>
    <row r="157" spans="1:22" x14ac:dyDescent="0.2">
      <c r="A157" s="120"/>
      <c r="B157" s="123"/>
      <c r="C157" s="98"/>
      <c r="D157" s="98"/>
      <c r="E157" s="98"/>
      <c r="F157" s="216"/>
      <c r="G157" s="228"/>
      <c r="H157" s="228"/>
      <c r="I157" s="228"/>
      <c r="J157" s="229"/>
      <c r="K157" s="98"/>
      <c r="L157" s="98"/>
      <c r="M157" s="98"/>
      <c r="N157" s="144"/>
      <c r="O157" s="144"/>
      <c r="P157" s="144"/>
      <c r="Q157" s="144"/>
      <c r="R157" s="98"/>
      <c r="S157" s="144"/>
      <c r="T157" s="144"/>
      <c r="U157" s="144"/>
      <c r="V157" s="144"/>
    </row>
    <row r="158" spans="1:22" x14ac:dyDescent="0.2">
      <c r="A158" s="120"/>
      <c r="B158" s="123"/>
      <c r="C158" s="98"/>
      <c r="D158" s="98"/>
      <c r="E158" s="98"/>
      <c r="F158" s="216"/>
      <c r="G158" s="228"/>
      <c r="H158" s="228"/>
      <c r="I158" s="228"/>
      <c r="J158" s="229"/>
      <c r="K158" s="98"/>
      <c r="L158" s="98"/>
      <c r="M158" s="98"/>
      <c r="N158" s="144"/>
      <c r="O158" s="144"/>
      <c r="P158" s="144"/>
      <c r="Q158" s="144"/>
      <c r="R158" s="98"/>
      <c r="S158" s="144"/>
      <c r="T158" s="144"/>
      <c r="U158" s="144"/>
      <c r="V158" s="144"/>
    </row>
    <row r="159" spans="1:22" x14ac:dyDescent="0.2">
      <c r="A159" s="120"/>
      <c r="B159" s="123"/>
      <c r="C159" s="98"/>
      <c r="D159" s="98"/>
      <c r="E159" s="98"/>
      <c r="F159" s="216"/>
      <c r="G159" s="228"/>
      <c r="H159" s="228"/>
      <c r="I159" s="228"/>
      <c r="J159" s="229"/>
      <c r="K159" s="98"/>
      <c r="L159" s="98"/>
      <c r="M159" s="98"/>
      <c r="N159" s="144"/>
      <c r="O159" s="144"/>
      <c r="P159" s="144"/>
      <c r="Q159" s="144"/>
      <c r="R159" s="98"/>
      <c r="S159" s="144"/>
      <c r="T159" s="144"/>
      <c r="U159" s="144"/>
      <c r="V159" s="144"/>
    </row>
    <row r="160" spans="1:22" x14ac:dyDescent="0.2">
      <c r="A160" s="120"/>
      <c r="B160" s="123"/>
      <c r="C160" s="98"/>
      <c r="D160" s="98"/>
      <c r="E160" s="98"/>
      <c r="F160" s="216"/>
      <c r="G160" s="228"/>
      <c r="H160" s="228"/>
      <c r="I160" s="228"/>
      <c r="J160" s="229"/>
      <c r="K160" s="98"/>
      <c r="L160" s="98"/>
      <c r="M160" s="98"/>
      <c r="N160" s="144"/>
      <c r="O160" s="144"/>
      <c r="P160" s="144"/>
      <c r="Q160" s="144"/>
      <c r="R160" s="98"/>
      <c r="S160" s="144"/>
      <c r="T160" s="144"/>
      <c r="U160" s="144"/>
      <c r="V160" s="144"/>
    </row>
    <row r="161" spans="1:22" x14ac:dyDescent="0.2">
      <c r="A161" s="120"/>
      <c r="B161" s="123"/>
      <c r="C161" s="98"/>
      <c r="D161" s="98"/>
      <c r="E161" s="98"/>
      <c r="F161" s="216"/>
      <c r="G161" s="228"/>
      <c r="H161" s="228"/>
      <c r="I161" s="228"/>
      <c r="J161" s="229"/>
      <c r="K161" s="98"/>
      <c r="L161" s="98"/>
      <c r="M161" s="98"/>
      <c r="N161" s="144"/>
      <c r="O161" s="144"/>
      <c r="P161" s="144"/>
      <c r="Q161" s="144"/>
      <c r="R161" s="98"/>
      <c r="S161" s="144"/>
      <c r="T161" s="144"/>
      <c r="U161" s="144"/>
      <c r="V161" s="144"/>
    </row>
    <row r="162" spans="1:22" x14ac:dyDescent="0.2">
      <c r="A162" s="120"/>
      <c r="B162" s="123"/>
      <c r="C162" s="98"/>
      <c r="D162" s="98"/>
      <c r="E162" s="98"/>
      <c r="F162" s="231"/>
      <c r="G162" s="228"/>
      <c r="H162" s="228"/>
      <c r="I162" s="228"/>
      <c r="J162" s="229"/>
      <c r="K162" s="98"/>
      <c r="L162" s="98"/>
      <c r="M162" s="98"/>
      <c r="N162" s="144"/>
      <c r="O162" s="144"/>
      <c r="P162" s="144"/>
      <c r="Q162" s="144"/>
      <c r="R162" s="98"/>
      <c r="S162" s="144"/>
      <c r="T162" s="144"/>
      <c r="U162" s="144"/>
      <c r="V162" s="144"/>
    </row>
    <row r="163" spans="1:22" x14ac:dyDescent="0.2">
      <c r="A163" s="120"/>
      <c r="B163" s="123"/>
      <c r="C163" s="98"/>
      <c r="D163" s="98"/>
      <c r="E163" s="98"/>
      <c r="F163" s="216"/>
      <c r="G163" s="228"/>
      <c r="H163" s="228"/>
      <c r="I163" s="228"/>
      <c r="J163" s="229"/>
      <c r="K163" s="98"/>
      <c r="L163" s="98"/>
      <c r="M163" s="98"/>
      <c r="N163" s="144"/>
      <c r="O163" s="123"/>
      <c r="P163" s="144"/>
      <c r="Q163" s="144"/>
      <c r="R163" s="98"/>
      <c r="S163" s="144"/>
      <c r="T163" s="144"/>
      <c r="U163" s="144"/>
      <c r="V163" s="144"/>
    </row>
    <row r="164" spans="1:22" x14ac:dyDescent="0.2">
      <c r="A164" s="120"/>
      <c r="B164" s="232"/>
      <c r="C164" s="233"/>
      <c r="D164" s="234"/>
      <c r="E164" s="235"/>
      <c r="F164" s="235"/>
      <c r="G164" s="142"/>
      <c r="H164" s="142"/>
      <c r="I164" s="236"/>
      <c r="J164" s="237"/>
      <c r="K164" s="224"/>
      <c r="L164" s="237"/>
      <c r="M164" s="245"/>
      <c r="N164" s="123"/>
      <c r="O164" s="123"/>
      <c r="P164" s="142"/>
      <c r="Q164" s="142"/>
      <c r="R164" s="98"/>
      <c r="S164" s="144"/>
      <c r="T164" s="144"/>
      <c r="U164" s="144"/>
      <c r="V164" s="144"/>
    </row>
    <row r="165" spans="1:22" x14ac:dyDescent="0.2">
      <c r="A165" s="120"/>
      <c r="B165" s="142"/>
      <c r="C165" s="233"/>
      <c r="D165" s="162"/>
      <c r="E165" s="174"/>
      <c r="F165" s="174"/>
      <c r="G165" s="238"/>
      <c r="H165" s="239"/>
      <c r="I165" s="236"/>
      <c r="J165" s="236"/>
      <c r="K165" s="142"/>
      <c r="L165" s="236"/>
      <c r="M165" s="142"/>
      <c r="N165" s="371"/>
      <c r="O165" s="371"/>
      <c r="P165" s="142"/>
      <c r="Q165" s="142"/>
      <c r="R165" s="98"/>
      <c r="S165" s="144"/>
      <c r="T165" s="144"/>
      <c r="U165" s="144"/>
      <c r="V165" s="144"/>
    </row>
    <row r="166" spans="1:22" x14ac:dyDescent="0.2">
      <c r="A166" s="120"/>
      <c r="B166" s="142"/>
      <c r="C166" s="233"/>
      <c r="D166" s="123"/>
      <c r="E166" s="142"/>
      <c r="F166" s="142"/>
      <c r="G166" s="166"/>
      <c r="H166" s="246"/>
      <c r="I166" s="236"/>
      <c r="J166" s="236"/>
      <c r="K166" s="247"/>
      <c r="L166" s="236"/>
      <c r="M166" s="142"/>
      <c r="N166" s="248"/>
      <c r="O166" s="248"/>
      <c r="P166" s="142"/>
      <c r="Q166" s="142"/>
      <c r="R166" s="98"/>
      <c r="S166" s="144"/>
      <c r="T166" s="144"/>
      <c r="U166" s="144"/>
      <c r="V166" s="144"/>
    </row>
    <row r="167" spans="1:22" x14ac:dyDescent="0.2">
      <c r="A167" s="29"/>
      <c r="B167" s="142"/>
      <c r="C167" s="142"/>
      <c r="D167" s="142"/>
      <c r="E167" s="142"/>
      <c r="F167" s="142"/>
      <c r="G167" s="370"/>
      <c r="H167" s="370"/>
      <c r="I167" s="231"/>
      <c r="J167" s="231"/>
      <c r="K167" s="236"/>
      <c r="L167" s="236"/>
      <c r="M167" s="142"/>
      <c r="N167" s="144"/>
      <c r="O167" s="144"/>
      <c r="P167" s="142"/>
      <c r="Q167" s="142"/>
      <c r="R167" s="98"/>
      <c r="S167" s="144"/>
      <c r="T167" s="144"/>
      <c r="U167" s="144"/>
      <c r="V167" s="144"/>
    </row>
    <row r="168" spans="1:22" x14ac:dyDescent="0.2">
      <c r="A168" s="29"/>
      <c r="B168" s="142"/>
      <c r="C168" s="142"/>
      <c r="D168" s="142"/>
      <c r="E168" s="142"/>
      <c r="F168" s="142"/>
      <c r="G168" s="370"/>
      <c r="H168" s="370"/>
      <c r="I168" s="231"/>
      <c r="J168" s="231"/>
      <c r="K168" s="236"/>
      <c r="L168" s="236"/>
      <c r="M168" s="142"/>
      <c r="N168" s="123"/>
      <c r="O168" s="123"/>
      <c r="P168" s="142"/>
      <c r="Q168" s="142"/>
      <c r="R168" s="98"/>
      <c r="S168" s="144"/>
      <c r="T168" s="144"/>
      <c r="U168" s="144"/>
      <c r="V168" s="144"/>
    </row>
    <row r="169" spans="1:22" x14ac:dyDescent="0.2">
      <c r="A169" s="29"/>
      <c r="B169" s="142"/>
      <c r="C169" s="142"/>
      <c r="D169" s="142"/>
      <c r="E169" s="142"/>
      <c r="F169" s="142"/>
      <c r="G169" s="370"/>
      <c r="H169" s="370"/>
      <c r="I169" s="231"/>
      <c r="J169" s="231"/>
      <c r="K169" s="236"/>
      <c r="L169" s="236"/>
      <c r="M169" s="142"/>
      <c r="N169" s="144"/>
      <c r="O169" s="144"/>
      <c r="P169" s="142"/>
      <c r="Q169" s="142"/>
      <c r="R169" s="98"/>
      <c r="S169" s="144"/>
      <c r="T169" s="144"/>
      <c r="U169" s="144"/>
      <c r="V169" s="144"/>
    </row>
    <row r="170" spans="1:22" ht="14.25" x14ac:dyDescent="0.2">
      <c r="A170" s="29"/>
      <c r="B170" s="249"/>
      <c r="C170" s="142"/>
      <c r="D170" s="142"/>
      <c r="E170" s="142"/>
      <c r="F170" s="142"/>
      <c r="G170" s="370"/>
      <c r="H170" s="370"/>
      <c r="I170" s="231"/>
      <c r="J170" s="231"/>
      <c r="K170" s="236"/>
      <c r="L170" s="236"/>
      <c r="M170" s="142"/>
      <c r="N170" s="142"/>
      <c r="O170" s="142"/>
      <c r="P170" s="142"/>
      <c r="Q170" s="142"/>
      <c r="R170" s="98"/>
      <c r="S170" s="144"/>
      <c r="T170" s="144"/>
      <c r="U170" s="144"/>
      <c r="V170" s="144"/>
    </row>
    <row r="171" spans="1:22" x14ac:dyDescent="0.2">
      <c r="A171" s="29"/>
      <c r="B171" s="142"/>
      <c r="C171" s="142"/>
      <c r="D171" s="142"/>
      <c r="E171" s="142"/>
      <c r="F171" s="142"/>
      <c r="G171" s="370"/>
      <c r="H171" s="370"/>
      <c r="I171" s="231"/>
      <c r="J171" s="240"/>
      <c r="K171" s="236"/>
      <c r="L171" s="236"/>
      <c r="M171" s="142"/>
      <c r="N171" s="142"/>
      <c r="O171" s="142"/>
      <c r="P171" s="142"/>
      <c r="Q171" s="142"/>
      <c r="R171" s="98"/>
      <c r="S171" s="144"/>
      <c r="T171" s="144"/>
      <c r="U171" s="144"/>
      <c r="V171" s="144"/>
    </row>
    <row r="172" spans="1:22" x14ac:dyDescent="0.2">
      <c r="A172" s="29"/>
      <c r="B172" s="142"/>
      <c r="C172" s="142"/>
      <c r="D172" s="142"/>
      <c r="E172" s="142"/>
      <c r="F172" s="142"/>
      <c r="G172" s="142"/>
      <c r="H172" s="142"/>
      <c r="I172" s="236"/>
      <c r="J172" s="236"/>
      <c r="K172" s="236"/>
      <c r="L172" s="236"/>
      <c r="M172" s="142"/>
      <c r="N172" s="142"/>
      <c r="O172" s="142"/>
      <c r="P172" s="142"/>
      <c r="Q172" s="142"/>
      <c r="R172" s="98"/>
      <c r="S172" s="144"/>
      <c r="T172" s="144"/>
      <c r="U172" s="144"/>
      <c r="V172" s="144"/>
    </row>
    <row r="173" spans="1:22" x14ac:dyDescent="0.2">
      <c r="A173" s="29"/>
      <c r="B173" s="142"/>
      <c r="C173" s="142"/>
      <c r="D173" s="142"/>
      <c r="E173" s="123"/>
      <c r="F173" s="123"/>
      <c r="G173" s="123"/>
      <c r="H173" s="123"/>
      <c r="I173" s="236"/>
      <c r="J173" s="236"/>
      <c r="K173" s="236"/>
      <c r="L173" s="236"/>
      <c r="M173" s="142"/>
      <c r="N173" s="142"/>
      <c r="O173" s="142"/>
      <c r="P173" s="142"/>
      <c r="Q173" s="142"/>
      <c r="R173" s="98"/>
      <c r="S173" s="144"/>
      <c r="T173" s="144"/>
      <c r="U173" s="144"/>
      <c r="V173" s="144"/>
    </row>
    <row r="174" spans="1:22" x14ac:dyDescent="0.2">
      <c r="B174" s="142"/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</row>
  </sheetData>
  <customSheetViews>
    <customSheetView guid="{09500FC5-7974-49D3-BF41-620D2193BB0B}">
      <selection activeCell="M3" sqref="M3"/>
      <pageMargins left="0.78740157499999996" right="0.78740157499999996" top="0.984251969" bottom="0.984251969" header="0.4921259845" footer="0.4921259845"/>
      <pageSetup paperSize="9" orientation="landscape" verticalDpi="0" r:id="rId1"/>
      <headerFooter alignWithMargins="0"/>
    </customSheetView>
  </customSheetViews>
  <mergeCells count="18">
    <mergeCell ref="Q4:R4"/>
    <mergeCell ref="K4:L4"/>
    <mergeCell ref="N4:P4"/>
    <mergeCell ref="C2:J2"/>
    <mergeCell ref="G124:H124"/>
    <mergeCell ref="G40:H40"/>
    <mergeCell ref="G125:H125"/>
    <mergeCell ref="G44:H44"/>
    <mergeCell ref="G45:H45"/>
    <mergeCell ref="G41:H41"/>
    <mergeCell ref="G42:H42"/>
    <mergeCell ref="G43:H43"/>
    <mergeCell ref="G171:H171"/>
    <mergeCell ref="N165:O165"/>
    <mergeCell ref="G167:H167"/>
    <mergeCell ref="G168:H168"/>
    <mergeCell ref="G169:H169"/>
    <mergeCell ref="G170:H170"/>
  </mergeCells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U104"/>
  <sheetViews>
    <sheetView topLeftCell="A40" workbookViewId="0">
      <selection activeCell="I60" sqref="I60"/>
    </sheetView>
  </sheetViews>
  <sheetFormatPr baseColWidth="10" defaultRowHeight="12.75" x14ac:dyDescent="0.2"/>
  <cols>
    <col min="1" max="1" width="3" customWidth="1"/>
    <col min="2" max="2" width="6.85546875" customWidth="1"/>
    <col min="3" max="3" width="13.28515625" customWidth="1"/>
    <col min="4" max="4" width="11.28515625" customWidth="1"/>
    <col min="5" max="5" width="12" customWidth="1"/>
    <col min="6" max="6" width="5" customWidth="1"/>
    <col min="7" max="7" width="9.5703125" customWidth="1"/>
    <col min="8" max="8" width="11.42578125" customWidth="1"/>
    <col min="9" max="10" width="13.28515625" customWidth="1"/>
    <col min="11" max="11" width="12.7109375" customWidth="1"/>
    <col min="12" max="12" width="11.42578125" customWidth="1"/>
    <col min="13" max="13" width="13" customWidth="1"/>
    <col min="14" max="14" width="11.42578125" customWidth="1"/>
    <col min="16" max="16" width="51.5703125" bestFit="1" customWidth="1"/>
    <col min="17" max="17" width="6.5703125" customWidth="1"/>
    <col min="18" max="18" width="12" bestFit="1" customWidth="1"/>
    <col min="20" max="20" width="12" bestFit="1" customWidth="1"/>
    <col min="21" max="21" width="9.5703125" customWidth="1"/>
  </cols>
  <sheetData>
    <row r="1" spans="1:21" ht="13.5" thickBot="1" x14ac:dyDescent="0.25">
      <c r="A1" s="164"/>
      <c r="B1" s="311"/>
      <c r="C1" s="311"/>
      <c r="D1" s="164"/>
      <c r="E1" s="164"/>
      <c r="F1" s="164"/>
      <c r="G1" s="164"/>
      <c r="H1" s="164"/>
      <c r="I1" s="165"/>
      <c r="J1" s="165"/>
      <c r="K1" s="164"/>
      <c r="L1" s="164"/>
      <c r="M1" s="164"/>
    </row>
    <row r="2" spans="1:21" x14ac:dyDescent="0.2">
      <c r="A2" s="120"/>
      <c r="B2" s="403" t="s">
        <v>89</v>
      </c>
      <c r="C2" s="404"/>
      <c r="D2" s="404"/>
      <c r="E2" s="404"/>
      <c r="F2" s="347"/>
      <c r="G2" s="148"/>
      <c r="H2" s="148"/>
      <c r="I2" s="119"/>
      <c r="J2" s="119"/>
      <c r="K2" s="119"/>
      <c r="L2" s="119"/>
      <c r="M2" s="119"/>
      <c r="P2" s="169"/>
      <c r="Q2" s="169"/>
      <c r="R2" s="169"/>
      <c r="S2" s="169"/>
      <c r="T2" s="169"/>
      <c r="U2" s="169"/>
    </row>
    <row r="3" spans="1:21" x14ac:dyDescent="0.2">
      <c r="A3" s="181"/>
      <c r="B3" s="348"/>
      <c r="C3" s="401" t="s">
        <v>88</v>
      </c>
      <c r="D3" s="402"/>
      <c r="E3" s="349"/>
      <c r="F3" s="350"/>
      <c r="G3" s="12"/>
      <c r="H3" s="1"/>
      <c r="I3" s="120"/>
      <c r="J3" s="120"/>
      <c r="K3" s="120"/>
      <c r="P3" s="169"/>
      <c r="Q3" s="169"/>
      <c r="R3" s="169"/>
      <c r="S3" s="169"/>
      <c r="T3" s="262"/>
      <c r="U3" s="169"/>
    </row>
    <row r="4" spans="1:21" x14ac:dyDescent="0.2">
      <c r="A4" s="120"/>
      <c r="B4" s="312" t="s">
        <v>67</v>
      </c>
      <c r="C4" s="30" t="s">
        <v>53</v>
      </c>
      <c r="D4" s="30" t="s">
        <v>65</v>
      </c>
      <c r="E4" s="94"/>
      <c r="F4" s="53"/>
      <c r="L4" s="1"/>
      <c r="P4" s="262"/>
      <c r="Q4" s="262"/>
      <c r="R4" s="262"/>
      <c r="S4" s="262"/>
      <c r="T4" s="262"/>
      <c r="U4" s="262"/>
    </row>
    <row r="5" spans="1:21" x14ac:dyDescent="0.2">
      <c r="A5" s="120"/>
      <c r="B5" s="313" t="s">
        <v>68</v>
      </c>
      <c r="C5" s="31" t="s">
        <v>8</v>
      </c>
      <c r="D5" s="31" t="s">
        <v>66</v>
      </c>
      <c r="E5" s="94"/>
      <c r="F5" s="53"/>
      <c r="L5" s="1"/>
      <c r="P5" s="171"/>
      <c r="Q5" s="364"/>
      <c r="R5" s="262"/>
      <c r="S5" s="262"/>
      <c r="T5" s="296"/>
      <c r="U5" s="262"/>
    </row>
    <row r="6" spans="1:21" x14ac:dyDescent="0.2">
      <c r="A6" s="120"/>
      <c r="B6" s="314">
        <v>1</v>
      </c>
      <c r="C6" s="106">
        <v>39469.607638888891</v>
      </c>
      <c r="D6" s="160"/>
      <c r="E6" s="94"/>
      <c r="F6" s="44"/>
      <c r="K6" s="1"/>
      <c r="P6" s="171"/>
      <c r="Q6" s="364"/>
      <c r="R6" s="364"/>
      <c r="S6" s="262"/>
      <c r="T6" s="296"/>
      <c r="U6" s="362"/>
    </row>
    <row r="7" spans="1:21" x14ac:dyDescent="0.2">
      <c r="A7" s="120"/>
      <c r="B7" s="315">
        <f>B6+1</f>
        <v>2</v>
      </c>
      <c r="C7" s="106">
        <v>39499.188194444447</v>
      </c>
      <c r="D7" s="85">
        <f t="shared" ref="D7:D30" si="0">C7-C6</f>
        <v>29.580555555556202</v>
      </c>
      <c r="E7" s="94"/>
      <c r="F7" s="44"/>
      <c r="K7" s="34"/>
      <c r="P7" s="262"/>
      <c r="Q7" s="98"/>
      <c r="R7" s="296"/>
      <c r="S7" s="262"/>
      <c r="T7" s="262"/>
      <c r="U7" s="363"/>
    </row>
    <row r="8" spans="1:21" x14ac:dyDescent="0.2">
      <c r="A8" s="120"/>
      <c r="B8" s="315">
        <f t="shared" ref="B8:B30" si="1">B7+1</f>
        <v>3</v>
      </c>
      <c r="C8" s="106">
        <v>39528.820138888892</v>
      </c>
      <c r="D8" s="85">
        <f t="shared" si="0"/>
        <v>29.631944444445253</v>
      </c>
      <c r="E8" s="94"/>
      <c r="F8" s="44"/>
      <c r="K8" s="34"/>
      <c r="P8" s="262"/>
      <c r="Q8" s="262"/>
      <c r="R8" s="262"/>
      <c r="S8" s="262"/>
      <c r="T8" s="262"/>
      <c r="U8" s="262"/>
    </row>
    <row r="9" spans="1:21" x14ac:dyDescent="0.2">
      <c r="A9" s="120"/>
      <c r="B9" s="315">
        <f t="shared" si="1"/>
        <v>4</v>
      </c>
      <c r="C9" s="106">
        <v>39558.476388888892</v>
      </c>
      <c r="D9" s="85">
        <f t="shared" si="0"/>
        <v>29.65625</v>
      </c>
      <c r="E9" s="94"/>
      <c r="F9" s="44"/>
      <c r="K9" s="34"/>
      <c r="P9" s="262"/>
      <c r="Q9" s="262"/>
      <c r="R9" s="262"/>
      <c r="S9" s="262"/>
      <c r="T9" s="262"/>
      <c r="U9" s="262"/>
    </row>
    <row r="10" spans="1:21" x14ac:dyDescent="0.2">
      <c r="A10" s="120"/>
      <c r="B10" s="316">
        <f t="shared" si="1"/>
        <v>5</v>
      </c>
      <c r="C10" s="193">
        <v>39588.133333333331</v>
      </c>
      <c r="D10" s="206">
        <f t="shared" si="0"/>
        <v>29.656944444439432</v>
      </c>
      <c r="E10" s="195" t="s">
        <v>23</v>
      </c>
      <c r="F10" s="44"/>
      <c r="K10" s="34"/>
      <c r="P10" s="171"/>
      <c r="Q10" s="364"/>
      <c r="R10" s="365"/>
      <c r="S10" s="262"/>
      <c r="T10" s="122"/>
      <c r="U10" s="262"/>
    </row>
    <row r="11" spans="1:21" x14ac:dyDescent="0.2">
      <c r="A11" s="120"/>
      <c r="B11" s="315">
        <f t="shared" si="1"/>
        <v>6</v>
      </c>
      <c r="C11" s="106">
        <v>39617.771527777775</v>
      </c>
      <c r="D11" s="85">
        <f t="shared" si="0"/>
        <v>29.638194444443798</v>
      </c>
      <c r="E11" s="94"/>
      <c r="F11" s="44"/>
      <c r="K11" s="34"/>
      <c r="P11" s="171"/>
      <c r="Q11" s="364"/>
      <c r="R11" s="365"/>
      <c r="S11" s="262"/>
      <c r="T11" s="122"/>
      <c r="U11" s="262"/>
    </row>
    <row r="12" spans="1:21" x14ac:dyDescent="0.2">
      <c r="A12" s="120"/>
      <c r="B12" s="315">
        <f t="shared" si="1"/>
        <v>7</v>
      </c>
      <c r="C12" s="106">
        <v>39647.375</v>
      </c>
      <c r="D12" s="85">
        <f t="shared" si="0"/>
        <v>29.603472222224809</v>
      </c>
      <c r="E12" s="94"/>
      <c r="F12" s="44"/>
      <c r="K12" s="34"/>
      <c r="P12" s="171"/>
      <c r="Q12" s="364"/>
      <c r="R12" s="365"/>
      <c r="S12" s="262"/>
      <c r="T12" s="262"/>
      <c r="U12" s="262"/>
    </row>
    <row r="13" spans="1:21" x14ac:dyDescent="0.2">
      <c r="A13" s="120"/>
      <c r="B13" s="315">
        <f t="shared" si="1"/>
        <v>8</v>
      </c>
      <c r="C13" s="106">
        <v>39676.928472222222</v>
      </c>
      <c r="D13" s="85">
        <f t="shared" si="0"/>
        <v>29.553472222221899</v>
      </c>
      <c r="E13" s="94"/>
      <c r="F13" s="44"/>
      <c r="K13" s="34"/>
      <c r="P13" s="262"/>
      <c r="Q13" s="262"/>
      <c r="R13" s="262"/>
      <c r="S13" s="262"/>
      <c r="T13" s="169"/>
      <c r="U13" s="262"/>
    </row>
    <row r="14" spans="1:21" x14ac:dyDescent="0.2">
      <c r="A14" s="120"/>
      <c r="B14" s="315">
        <f t="shared" si="1"/>
        <v>9</v>
      </c>
      <c r="C14" s="106">
        <v>39706.426388888889</v>
      </c>
      <c r="D14" s="85">
        <f t="shared" si="0"/>
        <v>29.497916666667152</v>
      </c>
      <c r="E14" s="296"/>
      <c r="F14" s="44"/>
      <c r="K14" s="34"/>
      <c r="P14" s="169"/>
      <c r="Q14" s="169"/>
      <c r="R14" s="169"/>
      <c r="S14" s="169"/>
      <c r="T14" s="169"/>
      <c r="U14" s="169"/>
    </row>
    <row r="15" spans="1:21" x14ac:dyDescent="0.2">
      <c r="A15" s="120"/>
      <c r="B15" s="315">
        <f t="shared" si="1"/>
        <v>10</v>
      </c>
      <c r="C15" s="106">
        <v>39735.877083333333</v>
      </c>
      <c r="D15" s="207">
        <f t="shared" si="0"/>
        <v>29.450694444443798</v>
      </c>
      <c r="E15" s="296"/>
      <c r="F15" s="44"/>
      <c r="K15" s="34"/>
      <c r="P15" s="169"/>
      <c r="Q15" s="169"/>
      <c r="R15" s="169"/>
      <c r="S15" s="169"/>
      <c r="T15" s="262"/>
      <c r="U15" s="169"/>
    </row>
    <row r="16" spans="1:21" x14ac:dyDescent="0.2">
      <c r="A16" s="120"/>
      <c r="B16" s="317">
        <f t="shared" si="1"/>
        <v>11</v>
      </c>
      <c r="C16" s="159">
        <v>39765.304166666669</v>
      </c>
      <c r="D16" s="208">
        <f t="shared" si="0"/>
        <v>29.427083333335759</v>
      </c>
      <c r="E16" s="161" t="s">
        <v>36</v>
      </c>
      <c r="F16" s="44"/>
      <c r="K16" s="34"/>
      <c r="P16" s="262"/>
      <c r="Q16" s="262"/>
      <c r="R16" s="262"/>
      <c r="S16" s="262"/>
      <c r="T16" s="262"/>
      <c r="U16" s="262"/>
    </row>
    <row r="17" spans="1:21" x14ac:dyDescent="0.2">
      <c r="A17" s="120"/>
      <c r="B17" s="315">
        <f t="shared" si="1"/>
        <v>12</v>
      </c>
      <c r="C17" s="106">
        <v>39794.734722222223</v>
      </c>
      <c r="D17" s="85">
        <f t="shared" si="0"/>
        <v>29.430555555554747</v>
      </c>
      <c r="E17" s="4"/>
      <c r="F17" s="44"/>
      <c r="K17" s="34"/>
      <c r="P17" s="171"/>
      <c r="Q17" s="364"/>
      <c r="R17" s="365"/>
      <c r="S17" s="262"/>
      <c r="T17" s="122"/>
      <c r="U17" s="262"/>
    </row>
    <row r="18" spans="1:21" x14ac:dyDescent="0.2">
      <c r="A18" s="120"/>
      <c r="B18" s="315">
        <f t="shared" si="1"/>
        <v>13</v>
      </c>
      <c r="C18" s="106">
        <v>39824.185416666667</v>
      </c>
      <c r="D18" s="85">
        <f t="shared" si="0"/>
        <v>29.450694444443798</v>
      </c>
      <c r="E18" s="94"/>
      <c r="F18" s="44"/>
      <c r="K18" s="34"/>
      <c r="P18" s="171"/>
      <c r="Q18" s="364"/>
      <c r="R18" s="122"/>
      <c r="S18" s="262"/>
      <c r="T18" s="122"/>
      <c r="U18" s="262"/>
    </row>
    <row r="19" spans="1:21" x14ac:dyDescent="0.2">
      <c r="A19" s="120"/>
      <c r="B19" s="315">
        <f t="shared" si="1"/>
        <v>14</v>
      </c>
      <c r="C19" s="106">
        <v>39853.659722222219</v>
      </c>
      <c r="D19" s="85">
        <f t="shared" si="0"/>
        <v>29.474305555551837</v>
      </c>
      <c r="E19" s="189">
        <f>C24-C10</f>
        <v>413.29861111110949</v>
      </c>
      <c r="F19" s="318" t="s">
        <v>38</v>
      </c>
      <c r="K19" s="34"/>
      <c r="P19" s="171"/>
      <c r="Q19" s="364"/>
      <c r="R19" s="365"/>
      <c r="S19" s="262"/>
      <c r="T19" s="262"/>
      <c r="U19" s="262"/>
    </row>
    <row r="20" spans="1:21" x14ac:dyDescent="0.2">
      <c r="A20" s="120"/>
      <c r="B20" s="315">
        <f t="shared" si="1"/>
        <v>15</v>
      </c>
      <c r="C20" s="106">
        <v>39883.151388888888</v>
      </c>
      <c r="D20" s="85">
        <f t="shared" si="0"/>
        <v>29.491666666668607</v>
      </c>
      <c r="E20" s="162"/>
      <c r="F20" s="44"/>
      <c r="I20" s="4"/>
      <c r="J20" s="4"/>
      <c r="K20" s="34"/>
    </row>
    <row r="21" spans="1:21" x14ac:dyDescent="0.2">
      <c r="A21" s="120"/>
      <c r="B21" s="315">
        <f t="shared" si="1"/>
        <v>16</v>
      </c>
      <c r="C21" s="106">
        <v>39912.664583333331</v>
      </c>
      <c r="D21" s="85">
        <f t="shared" si="0"/>
        <v>29.513194444443798</v>
      </c>
      <c r="E21" s="163"/>
      <c r="F21" s="44"/>
      <c r="I21" s="4"/>
      <c r="J21" s="4"/>
      <c r="K21" s="34"/>
    </row>
    <row r="22" spans="1:21" x14ac:dyDescent="0.2">
      <c r="A22" s="120"/>
      <c r="B22" s="315">
        <f t="shared" si="1"/>
        <v>17</v>
      </c>
      <c r="C22" s="106">
        <v>39942.209722222222</v>
      </c>
      <c r="D22" s="85">
        <f t="shared" si="0"/>
        <v>29.545138888890506</v>
      </c>
      <c r="E22" s="94"/>
      <c r="F22" s="44"/>
      <c r="I22" s="4"/>
      <c r="J22" s="4"/>
      <c r="K22" s="34"/>
    </row>
    <row r="23" spans="1:21" x14ac:dyDescent="0.2">
      <c r="A23" s="120"/>
      <c r="B23" s="315">
        <f t="shared" si="1"/>
        <v>18</v>
      </c>
      <c r="C23" s="106">
        <v>39971.800694444442</v>
      </c>
      <c r="D23" s="85">
        <f t="shared" si="0"/>
        <v>29.590972222220444</v>
      </c>
      <c r="E23" s="4"/>
      <c r="F23" s="44"/>
      <c r="I23" s="4"/>
      <c r="J23" s="4"/>
      <c r="K23" s="34"/>
    </row>
    <row r="24" spans="1:21" x14ac:dyDescent="0.2">
      <c r="A24" s="120"/>
      <c r="B24" s="316">
        <f t="shared" si="1"/>
        <v>19</v>
      </c>
      <c r="C24" s="193">
        <v>40001.431944444441</v>
      </c>
      <c r="D24" s="206">
        <f t="shared" si="0"/>
        <v>29.631249999998545</v>
      </c>
      <c r="E24" s="195" t="s">
        <v>23</v>
      </c>
      <c r="F24" s="44"/>
      <c r="I24" s="4"/>
      <c r="J24" s="4"/>
      <c r="K24" s="34"/>
    </row>
    <row r="25" spans="1:21" x14ac:dyDescent="0.2">
      <c r="A25" s="120"/>
      <c r="B25" s="315">
        <f t="shared" si="1"/>
        <v>20</v>
      </c>
      <c r="C25" s="106">
        <v>40031.080555555556</v>
      </c>
      <c r="D25" s="85">
        <f t="shared" si="0"/>
        <v>29.648611111115315</v>
      </c>
      <c r="E25" s="94"/>
      <c r="F25" s="44"/>
      <c r="J25" s="4"/>
      <c r="K25" s="34"/>
    </row>
    <row r="26" spans="1:21" x14ac:dyDescent="0.2">
      <c r="A26" s="120"/>
      <c r="B26" s="315">
        <f t="shared" si="1"/>
        <v>21</v>
      </c>
      <c r="C26" s="106">
        <v>40060.710416666669</v>
      </c>
      <c r="D26" s="85">
        <f t="shared" si="0"/>
        <v>29.629861111112405</v>
      </c>
      <c r="E26" s="94"/>
      <c r="F26" s="44"/>
      <c r="I26" s="4"/>
      <c r="J26" s="4"/>
      <c r="K26" s="34"/>
    </row>
    <row r="27" spans="1:21" x14ac:dyDescent="0.2">
      <c r="A27" s="120"/>
      <c r="B27" s="315">
        <f t="shared" si="1"/>
        <v>22</v>
      </c>
      <c r="C27" s="106">
        <v>40090.299305555556</v>
      </c>
      <c r="D27" s="85">
        <f t="shared" si="0"/>
        <v>29.588888888887595</v>
      </c>
      <c r="E27" s="94"/>
      <c r="F27" s="44"/>
      <c r="I27" s="4"/>
      <c r="J27" s="4"/>
      <c r="K27" s="34"/>
    </row>
    <row r="28" spans="1:21" x14ac:dyDescent="0.2">
      <c r="A28" s="120"/>
      <c r="B28" s="315">
        <f t="shared" si="1"/>
        <v>23</v>
      </c>
      <c r="C28" s="106">
        <v>40119.84375</v>
      </c>
      <c r="D28" s="85">
        <f t="shared" si="0"/>
        <v>29.544444444443798</v>
      </c>
      <c r="E28" s="94"/>
      <c r="F28" s="44"/>
      <c r="I28" s="4"/>
      <c r="J28" s="4"/>
      <c r="K28" s="34"/>
    </row>
    <row r="29" spans="1:21" x14ac:dyDescent="0.2">
      <c r="A29" s="120"/>
      <c r="B29" s="315">
        <f t="shared" si="1"/>
        <v>24</v>
      </c>
      <c r="C29" s="106">
        <v>40149.354861111111</v>
      </c>
      <c r="D29" s="85">
        <f t="shared" si="0"/>
        <v>29.511111111110949</v>
      </c>
      <c r="E29" s="94"/>
      <c r="F29" s="44"/>
      <c r="I29" s="4"/>
      <c r="J29" s="4"/>
      <c r="K29" s="34"/>
    </row>
    <row r="30" spans="1:21" x14ac:dyDescent="0.2">
      <c r="A30" s="120"/>
      <c r="B30" s="324">
        <f t="shared" si="1"/>
        <v>25</v>
      </c>
      <c r="C30" s="326">
        <v>40178.842361111114</v>
      </c>
      <c r="D30" s="27">
        <f t="shared" si="0"/>
        <v>29.48750000000291</v>
      </c>
      <c r="E30" s="95"/>
      <c r="F30" s="44"/>
      <c r="I30" s="4"/>
      <c r="J30" s="4"/>
      <c r="K30" s="34"/>
    </row>
    <row r="31" spans="1:21" x14ac:dyDescent="0.2">
      <c r="A31" s="120"/>
      <c r="B31" s="391" t="s">
        <v>55</v>
      </c>
      <c r="C31" s="392"/>
      <c r="D31" s="99"/>
      <c r="E31" s="4"/>
      <c r="F31" s="53"/>
      <c r="G31" s="94"/>
      <c r="H31" s="4"/>
      <c r="I31" s="45"/>
      <c r="J31" s="4"/>
      <c r="K31" s="4"/>
      <c r="L31" s="4"/>
      <c r="M31" s="1"/>
    </row>
    <row r="32" spans="1:21" ht="13.5" thickBot="1" x14ac:dyDescent="0.25">
      <c r="A32" s="120"/>
      <c r="B32" s="393" t="s">
        <v>54</v>
      </c>
      <c r="C32" s="394"/>
      <c r="D32" s="331">
        <f>AVERAGE(D10:D24)</f>
        <v>29.53037037036993</v>
      </c>
      <c r="E32" s="36"/>
      <c r="F32" s="319"/>
      <c r="G32" s="95"/>
      <c r="H32" s="94"/>
    </row>
    <row r="33" spans="1:8" x14ac:dyDescent="0.2">
      <c r="A33" s="296"/>
      <c r="B33" s="166"/>
      <c r="C33" s="41"/>
      <c r="D33" s="50"/>
      <c r="E33" s="35"/>
      <c r="F33" s="149"/>
      <c r="G33" s="95"/>
      <c r="H33" s="94"/>
    </row>
    <row r="34" spans="1:8" ht="13.5" thickBot="1" x14ac:dyDescent="0.25">
      <c r="A34" s="164"/>
      <c r="B34" s="311"/>
      <c r="C34" s="311"/>
      <c r="D34" s="164"/>
      <c r="E34" s="164"/>
      <c r="F34" s="164"/>
    </row>
    <row r="35" spans="1:8" x14ac:dyDescent="0.2">
      <c r="A35" s="120"/>
      <c r="B35" s="395" t="s">
        <v>92</v>
      </c>
      <c r="C35" s="396"/>
      <c r="D35" s="396"/>
      <c r="E35" s="396"/>
      <c r="F35" s="397"/>
    </row>
    <row r="36" spans="1:8" x14ac:dyDescent="0.2">
      <c r="A36" s="181"/>
      <c r="B36" s="348"/>
      <c r="C36" s="349"/>
      <c r="D36" s="351"/>
      <c r="E36" s="349"/>
      <c r="F36" s="350"/>
    </row>
    <row r="37" spans="1:8" x14ac:dyDescent="0.2">
      <c r="A37" s="120"/>
      <c r="B37" s="312" t="s">
        <v>67</v>
      </c>
      <c r="C37" s="30" t="s">
        <v>53</v>
      </c>
      <c r="D37" s="30" t="s">
        <v>65</v>
      </c>
      <c r="E37" s="94"/>
      <c r="F37" s="53"/>
    </row>
    <row r="38" spans="1:8" x14ac:dyDescent="0.2">
      <c r="A38" s="120"/>
      <c r="B38" s="313" t="s">
        <v>68</v>
      </c>
      <c r="C38" s="31" t="s">
        <v>8</v>
      </c>
      <c r="D38" s="31" t="s">
        <v>66</v>
      </c>
      <c r="E38" s="94"/>
      <c r="F38" s="53"/>
    </row>
    <row r="39" spans="1:8" x14ac:dyDescent="0.2">
      <c r="A39" s="120"/>
      <c r="B39" s="314">
        <v>1</v>
      </c>
      <c r="C39" s="106">
        <v>37284.993750000001</v>
      </c>
      <c r="D39" s="160"/>
      <c r="E39" s="94"/>
      <c r="F39" s="44"/>
    </row>
    <row r="40" spans="1:8" x14ac:dyDescent="0.2">
      <c r="A40" s="120"/>
      <c r="B40" s="315">
        <f>B39+1</f>
        <v>2</v>
      </c>
      <c r="C40" s="106">
        <v>37314.428472222222</v>
      </c>
      <c r="D40" s="85">
        <f t="shared" ref="D40:D70" si="2">C40-C39</f>
        <v>29.434722222220444</v>
      </c>
      <c r="E40" s="94"/>
      <c r="F40" s="44"/>
    </row>
    <row r="41" spans="1:8" x14ac:dyDescent="0.2">
      <c r="A41" s="120"/>
      <c r="B41" s="317">
        <f t="shared" ref="B41:B65" si="3">B40+1</f>
        <v>3</v>
      </c>
      <c r="C41" s="159">
        <v>37343.809027777781</v>
      </c>
      <c r="D41" s="208">
        <f t="shared" si="2"/>
        <v>29.380555555559113</v>
      </c>
      <c r="E41" s="179" t="s">
        <v>24</v>
      </c>
      <c r="F41" s="44"/>
    </row>
    <row r="42" spans="1:8" x14ac:dyDescent="0.2">
      <c r="A42" s="120"/>
      <c r="B42" s="315">
        <f t="shared" si="3"/>
        <v>4</v>
      </c>
      <c r="C42" s="106">
        <v>37373.166666666664</v>
      </c>
      <c r="D42" s="85">
        <f t="shared" si="2"/>
        <v>29.35763888888323</v>
      </c>
      <c r="E42" s="94"/>
      <c r="F42" s="44"/>
    </row>
    <row r="43" spans="1:8" x14ac:dyDescent="0.2">
      <c r="A43" s="120"/>
      <c r="B43" s="315">
        <f t="shared" si="3"/>
        <v>5</v>
      </c>
      <c r="C43" s="106">
        <v>37402.536111111112</v>
      </c>
      <c r="D43" s="207">
        <f t="shared" si="2"/>
        <v>29.369444444448163</v>
      </c>
      <c r="E43" s="4"/>
      <c r="F43" s="44"/>
    </row>
    <row r="44" spans="1:8" x14ac:dyDescent="0.2">
      <c r="A44" s="120"/>
      <c r="B44" s="315">
        <f t="shared" si="3"/>
        <v>6</v>
      </c>
      <c r="C44" s="106">
        <v>37431.946527777778</v>
      </c>
      <c r="D44" s="85">
        <f t="shared" si="2"/>
        <v>29.410416666665697</v>
      </c>
      <c r="E44" s="94"/>
      <c r="F44" s="44"/>
    </row>
    <row r="45" spans="1:8" x14ac:dyDescent="0.2">
      <c r="A45" s="120"/>
      <c r="B45" s="315">
        <f t="shared" si="3"/>
        <v>7</v>
      </c>
      <c r="C45" s="106">
        <v>37461.422222222223</v>
      </c>
      <c r="D45" s="85">
        <f t="shared" si="2"/>
        <v>29.475694444445253</v>
      </c>
      <c r="E45" s="94"/>
      <c r="F45" s="44"/>
    </row>
    <row r="46" spans="1:8" x14ac:dyDescent="0.2">
      <c r="A46" s="120"/>
      <c r="B46" s="315">
        <f t="shared" si="3"/>
        <v>8</v>
      </c>
      <c r="C46" s="106">
        <v>37490.979166666664</v>
      </c>
      <c r="D46" s="85">
        <f t="shared" si="2"/>
        <v>29.556944444440887</v>
      </c>
      <c r="E46" s="94"/>
      <c r="F46" s="44"/>
    </row>
    <row r="47" spans="1:8" x14ac:dyDescent="0.2">
      <c r="A47" s="120"/>
      <c r="B47" s="315">
        <f t="shared" si="3"/>
        <v>9</v>
      </c>
      <c r="C47" s="106">
        <v>37520.625</v>
      </c>
      <c r="D47" s="85">
        <f t="shared" si="2"/>
        <v>29.645833333335759</v>
      </c>
      <c r="E47" s="296"/>
      <c r="F47" s="44"/>
    </row>
    <row r="48" spans="1:8" x14ac:dyDescent="0.2">
      <c r="A48" s="120"/>
      <c r="B48" s="316">
        <f t="shared" si="3"/>
        <v>10</v>
      </c>
      <c r="C48" s="193">
        <v>37550.347916666666</v>
      </c>
      <c r="D48" s="206">
        <f t="shared" si="2"/>
        <v>29.722916666665697</v>
      </c>
      <c r="E48" s="194" t="s">
        <v>56</v>
      </c>
      <c r="F48" s="44"/>
    </row>
    <row r="49" spans="1:15" x14ac:dyDescent="0.2">
      <c r="A49" s="120"/>
      <c r="B49" s="315">
        <f t="shared" si="3"/>
        <v>11</v>
      </c>
      <c r="C49" s="106">
        <v>37580.106944444444</v>
      </c>
      <c r="D49" s="207">
        <f t="shared" si="2"/>
        <v>29.759027777778101</v>
      </c>
      <c r="E49" s="4"/>
      <c r="F49" s="44"/>
    </row>
    <row r="50" spans="1:15" x14ac:dyDescent="0.2">
      <c r="A50" s="120"/>
      <c r="B50" s="315">
        <f t="shared" si="3"/>
        <v>12</v>
      </c>
      <c r="C50" s="106">
        <v>37609.84097222222</v>
      </c>
      <c r="D50" s="85">
        <f t="shared" si="2"/>
        <v>29.734027777776646</v>
      </c>
      <c r="E50" s="189">
        <f>C55-C41</f>
        <v>413.38263888888469</v>
      </c>
      <c r="F50" s="327" t="s">
        <v>38</v>
      </c>
      <c r="M50" s="51"/>
    </row>
    <row r="51" spans="1:15" x14ac:dyDescent="0.2">
      <c r="A51" s="120"/>
      <c r="B51" s="315">
        <f t="shared" si="3"/>
        <v>13</v>
      </c>
      <c r="C51" s="106">
        <v>37639.491666666669</v>
      </c>
      <c r="D51" s="85">
        <f t="shared" si="2"/>
        <v>29.650694444448163</v>
      </c>
      <c r="E51" s="94"/>
      <c r="F51" s="44"/>
      <c r="M51" s="51"/>
    </row>
    <row r="52" spans="1:15" ht="13.5" thickBot="1" x14ac:dyDescent="0.25">
      <c r="A52" s="120"/>
      <c r="B52" s="315">
        <f t="shared" si="3"/>
        <v>14</v>
      </c>
      <c r="C52" s="106">
        <v>37669.036111111112</v>
      </c>
      <c r="D52" s="85">
        <f t="shared" si="2"/>
        <v>29.544444444443798</v>
      </c>
      <c r="E52" s="4"/>
      <c r="F52" s="44"/>
      <c r="G52" s="142"/>
      <c r="H52" s="142"/>
      <c r="I52" s="180"/>
      <c r="J52" s="180"/>
      <c r="K52" s="180"/>
    </row>
    <row r="53" spans="1:15" x14ac:dyDescent="0.2">
      <c r="A53" s="120"/>
      <c r="B53" s="315">
        <f t="shared" si="3"/>
        <v>15</v>
      </c>
      <c r="C53" s="106">
        <v>37698.482638888891</v>
      </c>
      <c r="D53" s="85">
        <f t="shared" si="2"/>
        <v>29.446527777778101</v>
      </c>
      <c r="E53" s="162"/>
      <c r="F53" s="44"/>
      <c r="G53" s="122"/>
      <c r="H53" s="122"/>
      <c r="I53" s="142"/>
      <c r="J53" s="405" t="s">
        <v>63</v>
      </c>
      <c r="K53" s="399" t="s">
        <v>73</v>
      </c>
      <c r="L53" s="399"/>
      <c r="M53" s="400"/>
      <c r="N53" s="51"/>
    </row>
    <row r="54" spans="1:15" x14ac:dyDescent="0.2">
      <c r="A54" s="120"/>
      <c r="B54" s="315">
        <f t="shared" si="3"/>
        <v>16</v>
      </c>
      <c r="C54" s="106">
        <v>37727.85833333333</v>
      </c>
      <c r="D54" s="85">
        <f t="shared" si="2"/>
        <v>29.375694444439432</v>
      </c>
      <c r="E54" s="163"/>
      <c r="F54" s="44"/>
      <c r="G54" s="95"/>
      <c r="H54" s="181"/>
      <c r="J54" s="406"/>
      <c r="K54" s="398" t="s">
        <v>72</v>
      </c>
      <c r="L54" s="398"/>
      <c r="M54" s="197"/>
      <c r="N54" s="4"/>
    </row>
    <row r="55" spans="1:15" x14ac:dyDescent="0.2">
      <c r="A55" s="120"/>
      <c r="B55" s="317">
        <f t="shared" si="3"/>
        <v>17</v>
      </c>
      <c r="C55" s="159">
        <v>37757.191666666666</v>
      </c>
      <c r="D55" s="208">
        <f t="shared" si="2"/>
        <v>29.333333333335759</v>
      </c>
      <c r="E55" s="179" t="s">
        <v>57</v>
      </c>
      <c r="F55" s="44"/>
      <c r="G55" s="95"/>
      <c r="H55" s="181"/>
      <c r="J55" s="185">
        <v>37963.900694444441</v>
      </c>
      <c r="K55" s="352">
        <f>J56-J55</f>
        <v>3307.5722222222248</v>
      </c>
      <c r="L55" s="198" t="s">
        <v>74</v>
      </c>
      <c r="M55" s="199">
        <f>K55/365.24219</f>
        <v>9.0558328494915248</v>
      </c>
      <c r="N55" s="50"/>
    </row>
    <row r="56" spans="1:15" x14ac:dyDescent="0.2">
      <c r="A56" s="120"/>
      <c r="B56" s="315">
        <f t="shared" si="3"/>
        <v>18</v>
      </c>
      <c r="C56" s="106">
        <v>37786.511111111111</v>
      </c>
      <c r="D56" s="85">
        <f t="shared" si="2"/>
        <v>29.319444444445253</v>
      </c>
      <c r="E56" s="296"/>
      <c r="F56" s="44"/>
      <c r="G56" s="51"/>
      <c r="H56" s="181"/>
      <c r="J56" s="185">
        <v>41271.472916666666</v>
      </c>
      <c r="K56" s="415" t="s">
        <v>90</v>
      </c>
      <c r="L56" s="408"/>
      <c r="M56" s="353">
        <f>ROUND((K55/29.5),0)</f>
        <v>112</v>
      </c>
      <c r="N56" s="50"/>
    </row>
    <row r="57" spans="1:15" x14ac:dyDescent="0.2">
      <c r="A57" s="120"/>
      <c r="B57" s="315">
        <f t="shared" si="3"/>
        <v>19</v>
      </c>
      <c r="C57" s="106">
        <v>37815.848611111112</v>
      </c>
      <c r="D57" s="207">
        <f t="shared" si="2"/>
        <v>29.337500000001455</v>
      </c>
      <c r="E57" s="190">
        <f>C62-C48</f>
        <v>413.55277777777519</v>
      </c>
      <c r="F57" s="328" t="s">
        <v>38</v>
      </c>
      <c r="G57" s="51"/>
      <c r="H57" s="181"/>
      <c r="J57" s="183"/>
      <c r="K57" s="357" t="s">
        <v>91</v>
      </c>
      <c r="L57" s="358"/>
      <c r="M57" s="355" t="s">
        <v>64</v>
      </c>
      <c r="N57" s="50"/>
      <c r="O57" s="12"/>
    </row>
    <row r="58" spans="1:15" x14ac:dyDescent="0.2">
      <c r="A58" s="120"/>
      <c r="B58" s="315">
        <f t="shared" si="3"/>
        <v>20</v>
      </c>
      <c r="C58" s="106">
        <v>37845.242361111108</v>
      </c>
      <c r="D58" s="85">
        <f t="shared" si="2"/>
        <v>29.393749999995634</v>
      </c>
      <c r="E58" s="94"/>
      <c r="F58" s="329"/>
      <c r="G58" s="95"/>
      <c r="H58" s="181"/>
      <c r="J58" s="42"/>
      <c r="K58" s="359">
        <f>K55/M56</f>
        <v>29.531894841269864</v>
      </c>
      <c r="L58" s="360" t="s">
        <v>38</v>
      </c>
      <c r="M58" s="356">
        <f>K55/8</f>
        <v>413.4465277777781</v>
      </c>
      <c r="N58" s="50"/>
      <c r="O58" s="12"/>
    </row>
    <row r="59" spans="1:15" ht="13.5" thickBot="1" x14ac:dyDescent="0.25">
      <c r="A59" s="120"/>
      <c r="B59" s="315">
        <f t="shared" si="3"/>
        <v>21</v>
      </c>
      <c r="C59" s="106">
        <v>37874.734027777777</v>
      </c>
      <c r="D59" s="85">
        <f t="shared" si="2"/>
        <v>29.491666666668607</v>
      </c>
      <c r="E59" s="94"/>
      <c r="F59" s="329"/>
      <c r="G59" s="50"/>
      <c r="J59" s="184"/>
      <c r="K59" s="413" t="s">
        <v>77</v>
      </c>
      <c r="L59" s="414"/>
      <c r="M59" s="354" t="s">
        <v>78</v>
      </c>
      <c r="N59" s="50"/>
      <c r="O59" s="12"/>
    </row>
    <row r="60" spans="1:15" x14ac:dyDescent="0.2">
      <c r="A60" s="120"/>
      <c r="B60" s="315">
        <f t="shared" si="3"/>
        <v>22</v>
      </c>
      <c r="C60" s="106">
        <v>37904.352777777778</v>
      </c>
      <c r="D60" s="85">
        <f t="shared" si="2"/>
        <v>29.618750000001455</v>
      </c>
      <c r="E60" s="296"/>
      <c r="F60" s="330"/>
      <c r="G60" s="168"/>
      <c r="H60" s="142"/>
      <c r="I60" s="32"/>
      <c r="J60" s="46"/>
      <c r="K60" s="32"/>
      <c r="L60" s="46"/>
      <c r="M60" s="33"/>
      <c r="N60" s="50"/>
      <c r="O60" s="49"/>
    </row>
    <row r="61" spans="1:15" x14ac:dyDescent="0.2">
      <c r="A61" s="120"/>
      <c r="B61" s="315">
        <f t="shared" si="3"/>
        <v>23</v>
      </c>
      <c r="C61" s="106">
        <v>37934.093055555553</v>
      </c>
      <c r="D61" s="85">
        <f t="shared" si="2"/>
        <v>29.740277777775191</v>
      </c>
      <c r="E61" s="296"/>
      <c r="F61" s="330"/>
      <c r="G61" s="168"/>
      <c r="H61" s="142"/>
      <c r="I61" s="142"/>
      <c r="J61" s="142"/>
      <c r="K61" s="171"/>
      <c r="L61" s="122"/>
      <c r="M61" s="172"/>
      <c r="N61" s="168"/>
      <c r="O61" s="48"/>
    </row>
    <row r="62" spans="1:15" x14ac:dyDescent="0.2">
      <c r="A62" s="120"/>
      <c r="B62" s="316">
        <f t="shared" si="3"/>
        <v>24</v>
      </c>
      <c r="C62" s="193">
        <v>37963.900694444441</v>
      </c>
      <c r="D62" s="206">
        <f t="shared" si="2"/>
        <v>29.807638888887595</v>
      </c>
      <c r="E62" s="194" t="s">
        <v>58</v>
      </c>
      <c r="F62" s="330"/>
      <c r="G62" s="168"/>
      <c r="H62" s="142"/>
      <c r="I62" s="142"/>
      <c r="J62" s="142"/>
      <c r="K62" s="222"/>
      <c r="L62" s="299"/>
      <c r="M62" s="299"/>
      <c r="N62" s="168"/>
      <c r="O62" s="49"/>
    </row>
    <row r="63" spans="1:15" x14ac:dyDescent="0.2">
      <c r="A63" s="120"/>
      <c r="B63" s="315">
        <f t="shared" si="3"/>
        <v>25</v>
      </c>
      <c r="C63" s="106">
        <v>37993.695138888892</v>
      </c>
      <c r="D63" s="85">
        <f t="shared" si="2"/>
        <v>29.794444444451074</v>
      </c>
      <c r="E63" s="262"/>
      <c r="F63" s="330"/>
      <c r="G63" s="168"/>
      <c r="H63" s="182"/>
      <c r="I63" s="173"/>
      <c r="J63" s="174"/>
      <c r="K63" s="299"/>
      <c r="L63" s="299"/>
      <c r="M63" s="142"/>
      <c r="N63" s="168"/>
      <c r="O63" s="49"/>
    </row>
    <row r="64" spans="1:15" x14ac:dyDescent="0.2">
      <c r="A64" s="120"/>
      <c r="B64" s="315">
        <f t="shared" si="3"/>
        <v>26</v>
      </c>
      <c r="C64" s="106">
        <v>38023.408333333333</v>
      </c>
      <c r="D64" s="85">
        <f t="shared" si="2"/>
        <v>29.713194444440887</v>
      </c>
      <c r="E64" s="189">
        <f>C69-C55</f>
        <v>413.31458333333285</v>
      </c>
      <c r="F64" s="327" t="s">
        <v>38</v>
      </c>
      <c r="G64" s="168"/>
      <c r="H64" s="162"/>
      <c r="I64" s="264"/>
      <c r="J64" s="142"/>
      <c r="K64" s="168"/>
      <c r="L64" s="173"/>
      <c r="M64" s="265"/>
      <c r="N64" s="168"/>
      <c r="O64" s="48"/>
    </row>
    <row r="65" spans="1:17" x14ac:dyDescent="0.2">
      <c r="A65" s="120"/>
      <c r="B65" s="315">
        <f t="shared" si="3"/>
        <v>27</v>
      </c>
      <c r="C65" s="106">
        <v>38053.010416666664</v>
      </c>
      <c r="D65" s="85">
        <f t="shared" si="2"/>
        <v>29.602083333331393</v>
      </c>
      <c r="E65" s="162"/>
      <c r="F65" s="320"/>
      <c r="G65" s="168"/>
      <c r="H65" s="163"/>
      <c r="I65" s="264"/>
      <c r="J65" s="122"/>
      <c r="K65" s="173"/>
      <c r="L65" s="266"/>
      <c r="M65" s="267"/>
      <c r="N65" s="168"/>
      <c r="O65" s="49"/>
    </row>
    <row r="66" spans="1:17" x14ac:dyDescent="0.2">
      <c r="A66" s="181"/>
      <c r="B66" s="315">
        <f t="shared" ref="B66:B70" si="4">B65+1</f>
        <v>28</v>
      </c>
      <c r="C66" s="106">
        <v>38082.502083333333</v>
      </c>
      <c r="D66" s="85">
        <f t="shared" si="2"/>
        <v>29.491666666668607</v>
      </c>
      <c r="E66" s="296"/>
      <c r="F66" s="321"/>
      <c r="G66" s="168"/>
      <c r="H66" s="167"/>
      <c r="I66" s="264"/>
      <c r="J66" s="168"/>
      <c r="K66" s="230"/>
      <c r="L66" s="268"/>
      <c r="M66" s="218"/>
      <c r="N66" s="168"/>
      <c r="O66" s="48"/>
    </row>
    <row r="67" spans="1:17" x14ac:dyDescent="0.2">
      <c r="A67" s="181"/>
      <c r="B67" s="315">
        <f t="shared" si="4"/>
        <v>29</v>
      </c>
      <c r="C67" s="106">
        <v>38111.898611111108</v>
      </c>
      <c r="D67" s="85">
        <f t="shared" si="2"/>
        <v>29.396527777775191</v>
      </c>
      <c r="E67" s="296"/>
      <c r="F67" s="321"/>
      <c r="G67" s="168"/>
      <c r="H67" s="170"/>
      <c r="I67" s="264"/>
      <c r="J67" s="168"/>
      <c r="K67" s="269"/>
      <c r="L67" s="268"/>
      <c r="M67" s="228"/>
      <c r="N67" s="168"/>
      <c r="O67" s="49"/>
    </row>
    <row r="68" spans="1:17" x14ac:dyDescent="0.2">
      <c r="A68" s="181"/>
      <c r="B68" s="315">
        <f t="shared" si="4"/>
        <v>30</v>
      </c>
      <c r="C68" s="106">
        <v>38141.222222222219</v>
      </c>
      <c r="D68" s="85">
        <f t="shared" si="2"/>
        <v>29.323611111110949</v>
      </c>
      <c r="E68" s="296"/>
      <c r="F68" s="321"/>
      <c r="G68" s="168"/>
      <c r="H68" s="142"/>
      <c r="I68" s="264"/>
      <c r="J68" s="168"/>
      <c r="K68" s="411"/>
      <c r="L68" s="412"/>
      <c r="M68" s="142"/>
      <c r="N68" s="168"/>
      <c r="O68" s="49"/>
    </row>
    <row r="69" spans="1:17" x14ac:dyDescent="0.2">
      <c r="A69" s="181"/>
      <c r="B69" s="317">
        <f t="shared" si="4"/>
        <v>31</v>
      </c>
      <c r="C69" s="159">
        <v>38170.506249999999</v>
      </c>
      <c r="D69" s="208">
        <f t="shared" si="2"/>
        <v>29.284027777779556</v>
      </c>
      <c r="E69" s="179" t="s">
        <v>24</v>
      </c>
      <c r="F69" s="321"/>
      <c r="G69" s="168"/>
      <c r="H69" s="142"/>
      <c r="I69" s="142"/>
      <c r="J69" s="142"/>
      <c r="K69" s="123"/>
      <c r="L69" s="123"/>
      <c r="M69" s="12"/>
      <c r="N69" s="34"/>
      <c r="O69" s="49"/>
    </row>
    <row r="70" spans="1:17" x14ac:dyDescent="0.2">
      <c r="A70" s="181"/>
      <c r="B70" s="324">
        <f t="shared" si="4"/>
        <v>32</v>
      </c>
      <c r="C70" s="325">
        <v>38199.79583333333</v>
      </c>
      <c r="D70" s="27">
        <f t="shared" si="2"/>
        <v>29.289583333331393</v>
      </c>
      <c r="E70" s="296"/>
      <c r="F70" s="321"/>
      <c r="G70" s="168"/>
      <c r="H70" s="162"/>
      <c r="I70" s="142"/>
      <c r="J70" s="142"/>
      <c r="K70" s="142"/>
      <c r="L70" s="142"/>
      <c r="M70" s="4"/>
      <c r="N70" s="34"/>
      <c r="O70" s="48"/>
    </row>
    <row r="71" spans="1:17" x14ac:dyDescent="0.2">
      <c r="A71" s="181"/>
      <c r="B71" s="391" t="s">
        <v>61</v>
      </c>
      <c r="C71" s="392"/>
      <c r="D71" s="298"/>
      <c r="E71" s="296"/>
      <c r="F71" s="321"/>
      <c r="G71" s="168"/>
      <c r="H71" s="162"/>
      <c r="I71" s="262"/>
      <c r="J71" s="262"/>
      <c r="K71" s="222"/>
      <c r="L71" s="263"/>
      <c r="M71" s="263"/>
      <c r="N71" s="34"/>
      <c r="O71" s="49"/>
    </row>
    <row r="72" spans="1:17" x14ac:dyDescent="0.2">
      <c r="A72" s="181"/>
      <c r="B72" s="407" t="s">
        <v>59</v>
      </c>
      <c r="C72" s="408"/>
      <c r="D72" s="100">
        <f>AVERAGE(D41:D55)</f>
        <v>29.517546296296253</v>
      </c>
      <c r="E72" s="296"/>
      <c r="F72" s="321"/>
      <c r="G72" s="168"/>
      <c r="H72" s="163"/>
      <c r="I72" s="263"/>
      <c r="J72" s="177"/>
      <c r="K72" s="263"/>
      <c r="L72" s="263"/>
      <c r="M72" s="262"/>
      <c r="N72" s="34"/>
      <c r="O72" s="12"/>
    </row>
    <row r="73" spans="1:17" x14ac:dyDescent="0.2">
      <c r="A73" s="181"/>
      <c r="B73" s="407" t="s">
        <v>60</v>
      </c>
      <c r="C73" s="408"/>
      <c r="D73" s="100">
        <f>AVERAGE(D48:D62)</f>
        <v>29.551712962962725</v>
      </c>
      <c r="E73" s="296"/>
      <c r="F73" s="321"/>
      <c r="G73" s="168"/>
      <c r="H73" s="167"/>
      <c r="I73" s="264"/>
      <c r="J73" s="262"/>
      <c r="K73" s="168"/>
      <c r="L73" s="263"/>
      <c r="M73" s="265"/>
      <c r="N73" s="34"/>
      <c r="O73" s="41"/>
    </row>
    <row r="74" spans="1:17" ht="13.5" thickBot="1" x14ac:dyDescent="0.25">
      <c r="A74" s="181"/>
      <c r="B74" s="409" t="s">
        <v>62</v>
      </c>
      <c r="C74" s="410"/>
      <c r="D74" s="331">
        <f>AVERAGE(D55:D69)</f>
        <v>29.509861111111242</v>
      </c>
      <c r="E74" s="322"/>
      <c r="F74" s="323"/>
      <c r="G74" s="168"/>
      <c r="H74" s="170"/>
      <c r="I74" s="272"/>
      <c r="J74" s="122"/>
      <c r="K74" s="263"/>
      <c r="L74" s="266"/>
      <c r="M74" s="267"/>
      <c r="N74" s="34"/>
      <c r="O74" s="4"/>
    </row>
    <row r="75" spans="1:17" x14ac:dyDescent="0.2">
      <c r="A75" s="181"/>
      <c r="B75" s="171"/>
      <c r="C75" s="122"/>
      <c r="D75" s="172"/>
      <c r="E75" s="123"/>
      <c r="F75" s="168"/>
      <c r="G75" s="168"/>
      <c r="H75" s="142"/>
      <c r="I75" s="272"/>
      <c r="J75" s="168"/>
      <c r="K75" s="180"/>
      <c r="L75" s="268"/>
      <c r="M75" s="218"/>
      <c r="N75" s="34"/>
      <c r="O75" s="4"/>
    </row>
    <row r="76" spans="1:17" x14ac:dyDescent="0.2">
      <c r="A76" s="181"/>
      <c r="B76" s="171"/>
      <c r="C76" s="122"/>
      <c r="D76" s="172"/>
      <c r="E76" s="123"/>
      <c r="F76" s="168"/>
      <c r="G76" s="168"/>
      <c r="H76" s="142"/>
      <c r="I76" s="264"/>
      <c r="J76" s="168"/>
      <c r="K76" s="269"/>
      <c r="L76" s="268"/>
      <c r="M76" s="228"/>
      <c r="N76" s="34"/>
      <c r="O76" s="4"/>
    </row>
    <row r="77" spans="1:17" x14ac:dyDescent="0.2">
      <c r="A77" s="181"/>
      <c r="B77" s="171"/>
      <c r="C77" s="122"/>
      <c r="D77" s="172"/>
      <c r="E77" s="123"/>
      <c r="F77" s="168"/>
      <c r="G77" s="168"/>
      <c r="H77" s="162"/>
      <c r="I77" s="264"/>
      <c r="J77" s="168"/>
      <c r="K77" s="271"/>
      <c r="L77" s="166"/>
      <c r="M77" s="270"/>
      <c r="N77" s="34"/>
      <c r="O77" s="4"/>
      <c r="P77" s="47"/>
      <c r="Q77" s="4"/>
    </row>
    <row r="78" spans="1:17" x14ac:dyDescent="0.2">
      <c r="A78" s="181"/>
      <c r="B78" s="171"/>
      <c r="C78" s="122"/>
      <c r="D78" s="172"/>
      <c r="E78" s="123"/>
      <c r="F78" s="168"/>
      <c r="G78" s="168"/>
      <c r="H78" s="162"/>
      <c r="I78" s="142"/>
      <c r="J78" s="142"/>
      <c r="K78" s="142"/>
      <c r="L78" s="119"/>
      <c r="N78" s="34"/>
      <c r="O78" s="4"/>
      <c r="P78" s="47"/>
      <c r="Q78" s="4"/>
    </row>
    <row r="79" spans="1:17" x14ac:dyDescent="0.2">
      <c r="A79" s="181"/>
      <c r="B79" s="171"/>
      <c r="C79" s="122"/>
      <c r="D79" s="172"/>
      <c r="E79" s="123"/>
      <c r="F79" s="168"/>
      <c r="G79" s="168"/>
      <c r="H79" s="163"/>
      <c r="I79" s="142"/>
      <c r="J79" s="142"/>
      <c r="K79" s="142"/>
      <c r="L79" s="119"/>
      <c r="N79" s="34"/>
      <c r="O79" s="4"/>
      <c r="P79" s="3"/>
      <c r="Q79" s="4"/>
    </row>
    <row r="80" spans="1:17" x14ac:dyDescent="0.2">
      <c r="A80" s="181"/>
      <c r="B80" s="171"/>
      <c r="C80" s="122"/>
      <c r="D80" s="172"/>
      <c r="E80" s="123"/>
      <c r="F80" s="168"/>
      <c r="G80" s="168"/>
      <c r="H80" s="167"/>
      <c r="I80" s="142"/>
      <c r="J80" s="142"/>
      <c r="K80" s="142"/>
      <c r="L80" s="119"/>
      <c r="N80" s="34"/>
      <c r="O80" s="4"/>
      <c r="P80" s="50"/>
      <c r="Q80" s="4"/>
    </row>
    <row r="81" spans="1:17" x14ac:dyDescent="0.2">
      <c r="A81" s="181"/>
      <c r="B81" s="171"/>
      <c r="C81" s="122"/>
      <c r="D81" s="172"/>
      <c r="E81" s="123"/>
      <c r="F81" s="168"/>
      <c r="G81" s="168"/>
      <c r="H81" s="174"/>
      <c r="I81" s="142"/>
      <c r="J81" s="142"/>
      <c r="K81" s="173"/>
      <c r="L81" s="119"/>
      <c r="N81" s="34"/>
      <c r="O81" s="4"/>
      <c r="P81" s="50"/>
      <c r="Q81" s="4"/>
    </row>
    <row r="82" spans="1:17" x14ac:dyDescent="0.2">
      <c r="A82" s="181"/>
      <c r="B82" s="171"/>
      <c r="C82" s="122"/>
      <c r="D82" s="172"/>
      <c r="E82" s="123"/>
      <c r="F82" s="168"/>
      <c r="G82" s="168"/>
      <c r="H82" s="142"/>
      <c r="I82" s="142"/>
      <c r="J82" s="123"/>
      <c r="K82" s="142"/>
      <c r="L82" s="119"/>
      <c r="N82" s="34"/>
      <c r="P82" s="50"/>
      <c r="Q82" s="4"/>
    </row>
    <row r="83" spans="1:17" x14ac:dyDescent="0.2">
      <c r="A83" s="181"/>
      <c r="B83" s="171"/>
      <c r="C83" s="122"/>
      <c r="D83" s="172"/>
      <c r="E83" s="123"/>
      <c r="F83" s="168"/>
      <c r="G83" s="168"/>
      <c r="H83" s="142"/>
      <c r="I83" s="142"/>
      <c r="J83" s="142"/>
      <c r="K83" s="142"/>
      <c r="L83" s="119"/>
      <c r="N83" s="34"/>
      <c r="P83" s="50"/>
      <c r="Q83" s="4"/>
    </row>
    <row r="84" spans="1:17" x14ac:dyDescent="0.2">
      <c r="A84" s="181"/>
      <c r="B84" s="171"/>
      <c r="C84" s="122"/>
      <c r="D84" s="172"/>
      <c r="E84" s="123"/>
      <c r="F84" s="168"/>
      <c r="G84" s="168"/>
      <c r="H84" s="142"/>
      <c r="I84" s="142"/>
      <c r="J84" s="142"/>
      <c r="K84" s="142"/>
      <c r="L84" s="119"/>
      <c r="N84" s="34"/>
      <c r="P84" s="50"/>
      <c r="Q84" s="4"/>
    </row>
    <row r="85" spans="1:17" x14ac:dyDescent="0.2">
      <c r="A85" s="181"/>
      <c r="B85" s="171"/>
      <c r="C85" s="122"/>
      <c r="D85" s="172"/>
      <c r="E85" s="123"/>
      <c r="F85" s="168"/>
      <c r="G85" s="168"/>
      <c r="H85" s="142"/>
      <c r="I85" s="142"/>
      <c r="J85" s="142"/>
      <c r="K85" s="142"/>
      <c r="L85" s="119"/>
      <c r="N85" s="34"/>
      <c r="P85" s="50"/>
      <c r="Q85" s="4"/>
    </row>
    <row r="86" spans="1:17" x14ac:dyDescent="0.2">
      <c r="A86" s="181"/>
      <c r="B86" s="171"/>
      <c r="C86" s="122"/>
      <c r="D86" s="172"/>
      <c r="E86" s="123"/>
      <c r="F86" s="168"/>
      <c r="G86" s="168"/>
      <c r="H86" s="142"/>
      <c r="I86" s="142"/>
      <c r="J86" s="142"/>
      <c r="K86" s="142"/>
      <c r="L86" s="119"/>
      <c r="N86" s="34"/>
      <c r="P86" s="50"/>
      <c r="Q86" s="4"/>
    </row>
    <row r="87" spans="1:17" x14ac:dyDescent="0.2">
      <c r="A87" s="181"/>
      <c r="B87" s="171"/>
      <c r="C87" s="122"/>
      <c r="D87" s="172"/>
      <c r="E87" s="123"/>
      <c r="F87" s="168"/>
      <c r="G87" s="168"/>
      <c r="H87" s="175"/>
      <c r="I87" s="142"/>
      <c r="J87" s="142"/>
      <c r="K87" s="142"/>
      <c r="L87" s="119"/>
      <c r="N87" s="34"/>
      <c r="P87" s="50"/>
      <c r="Q87" s="4"/>
    </row>
    <row r="88" spans="1:17" x14ac:dyDescent="0.2">
      <c r="A88" s="181"/>
      <c r="B88" s="171"/>
      <c r="C88" s="122"/>
      <c r="D88" s="172"/>
      <c r="E88" s="123"/>
      <c r="F88" s="168"/>
      <c r="G88" s="168"/>
      <c r="H88" s="142"/>
      <c r="I88" s="142"/>
      <c r="J88" s="142"/>
      <c r="K88" s="142"/>
      <c r="L88" s="119"/>
      <c r="N88" s="34"/>
      <c r="P88" s="50"/>
      <c r="Q88" s="4"/>
    </row>
    <row r="89" spans="1:17" x14ac:dyDescent="0.2">
      <c r="A89" s="181"/>
      <c r="B89" s="171"/>
      <c r="C89" s="122"/>
      <c r="D89" s="172"/>
      <c r="E89" s="123"/>
      <c r="F89" s="176"/>
      <c r="G89" s="168"/>
      <c r="H89" s="142"/>
      <c r="I89" s="142"/>
      <c r="J89" s="142"/>
      <c r="K89" s="142"/>
      <c r="L89" s="119"/>
      <c r="N89" s="34"/>
      <c r="P89" s="50"/>
      <c r="Q89" s="4"/>
    </row>
    <row r="90" spans="1:17" x14ac:dyDescent="0.2">
      <c r="A90" s="181"/>
      <c r="B90" s="171"/>
      <c r="C90" s="122"/>
      <c r="D90" s="176"/>
      <c r="E90" s="176"/>
      <c r="F90" s="176"/>
      <c r="G90" s="168"/>
      <c r="H90" s="142"/>
      <c r="I90" s="142"/>
      <c r="J90" s="142"/>
      <c r="K90" s="142"/>
      <c r="L90" s="119"/>
      <c r="N90" s="34"/>
      <c r="P90" s="50"/>
      <c r="Q90" s="4"/>
    </row>
    <row r="91" spans="1:17" x14ac:dyDescent="0.2">
      <c r="A91" s="181"/>
      <c r="B91" s="171"/>
      <c r="C91" s="122"/>
      <c r="D91" s="176"/>
      <c r="E91" s="176"/>
      <c r="F91" s="176"/>
      <c r="G91" s="168"/>
      <c r="H91" s="142"/>
      <c r="I91" s="142"/>
      <c r="J91" s="142"/>
      <c r="K91" s="142"/>
      <c r="L91" s="119"/>
      <c r="P91" s="50"/>
      <c r="Q91" s="4"/>
    </row>
    <row r="92" spans="1:17" x14ac:dyDescent="0.2">
      <c r="A92" s="181"/>
      <c r="B92" s="171"/>
      <c r="C92" s="122"/>
      <c r="D92" s="176"/>
      <c r="E92" s="176"/>
      <c r="F92" s="177"/>
      <c r="G92" s="168"/>
      <c r="H92" s="142"/>
      <c r="I92" s="142"/>
      <c r="J92" s="142"/>
      <c r="K92" s="142"/>
      <c r="L92" s="119"/>
      <c r="P92" s="50"/>
      <c r="Q92" s="4"/>
    </row>
    <row r="93" spans="1:17" x14ac:dyDescent="0.2">
      <c r="A93" s="181"/>
      <c r="B93" s="119"/>
      <c r="C93" s="178"/>
      <c r="D93" s="178"/>
      <c r="E93" s="178"/>
      <c r="F93" s="178"/>
      <c r="G93" s="142"/>
      <c r="H93" s="142"/>
      <c r="I93" s="142"/>
      <c r="J93" s="142"/>
      <c r="K93" s="119"/>
      <c r="L93" s="119"/>
      <c r="P93" s="50"/>
      <c r="Q93" s="4"/>
    </row>
    <row r="94" spans="1:17" x14ac:dyDescent="0.2">
      <c r="A94" s="181"/>
      <c r="B94" s="119"/>
      <c r="C94" s="178"/>
      <c r="D94" s="178"/>
      <c r="E94" s="178"/>
      <c r="F94" s="178"/>
      <c r="G94" s="119"/>
      <c r="H94" s="119"/>
      <c r="I94" s="119"/>
      <c r="J94" s="119"/>
      <c r="P94" s="50"/>
      <c r="Q94" s="4"/>
    </row>
    <row r="95" spans="1:17" x14ac:dyDescent="0.2">
      <c r="C95" s="96"/>
      <c r="D95" s="96"/>
      <c r="E95" s="96"/>
      <c r="P95" s="33"/>
      <c r="Q95" s="4"/>
    </row>
    <row r="96" spans="1:17" x14ac:dyDescent="0.2">
      <c r="P96" s="50"/>
      <c r="Q96" s="4"/>
    </row>
    <row r="97" spans="16:17" x14ac:dyDescent="0.2">
      <c r="P97" s="4"/>
      <c r="Q97" s="4"/>
    </row>
    <row r="98" spans="16:17" x14ac:dyDescent="0.2">
      <c r="P98" s="4"/>
      <c r="Q98" s="4"/>
    </row>
    <row r="99" spans="16:17" x14ac:dyDescent="0.2">
      <c r="P99" s="4"/>
      <c r="Q99" s="4"/>
    </row>
    <row r="100" spans="16:17" x14ac:dyDescent="0.2">
      <c r="P100" s="4"/>
      <c r="Q100" s="4"/>
    </row>
    <row r="101" spans="16:17" x14ac:dyDescent="0.2">
      <c r="P101" s="4"/>
      <c r="Q101" s="4"/>
    </row>
    <row r="102" spans="16:17" x14ac:dyDescent="0.2">
      <c r="P102" s="4"/>
      <c r="Q102" s="4"/>
    </row>
    <row r="103" spans="16:17" x14ac:dyDescent="0.2">
      <c r="P103" s="4"/>
      <c r="Q103" s="4"/>
    </row>
    <row r="104" spans="16:17" x14ac:dyDescent="0.2">
      <c r="P104" s="4"/>
      <c r="Q104" s="4"/>
    </row>
  </sheetData>
  <customSheetViews>
    <customSheetView guid="{09500FC5-7974-49D3-BF41-620D2193BB0B}">
      <selection activeCell="N3" sqref="N3"/>
      <pageMargins left="0.78740157499999996" right="0.78740157499999996" top="0.984251969" bottom="0.984251969" header="0.4921259845" footer="0.4921259845"/>
      <pageSetup paperSize="9" orientation="landscape" verticalDpi="0" r:id="rId1"/>
      <headerFooter alignWithMargins="0"/>
    </customSheetView>
  </customSheetViews>
  <mergeCells count="15">
    <mergeCell ref="K68:L68"/>
    <mergeCell ref="K59:L59"/>
    <mergeCell ref="K56:L56"/>
    <mergeCell ref="C3:D3"/>
    <mergeCell ref="B2:E2"/>
    <mergeCell ref="J53:J54"/>
    <mergeCell ref="B73:C73"/>
    <mergeCell ref="B74:C74"/>
    <mergeCell ref="B71:C71"/>
    <mergeCell ref="B72:C72"/>
    <mergeCell ref="B31:C31"/>
    <mergeCell ref="B32:C32"/>
    <mergeCell ref="B35:F35"/>
    <mergeCell ref="K54:L54"/>
    <mergeCell ref="K53:M53"/>
  </mergeCells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9"/>
  <sheetViews>
    <sheetView workbookViewId="0">
      <selection activeCell="S11" sqref="S11"/>
    </sheetView>
  </sheetViews>
  <sheetFormatPr baseColWidth="10" defaultRowHeight="12.75" x14ac:dyDescent="0.2"/>
  <cols>
    <col min="1" max="1" width="3" bestFit="1" customWidth="1"/>
    <col min="2" max="2" width="11.7109375" customWidth="1"/>
    <col min="3" max="4" width="7.7109375" customWidth="1"/>
    <col min="5" max="5" width="7" customWidth="1"/>
    <col min="6" max="6" width="6.5703125" customWidth="1"/>
    <col min="7" max="7" width="9.42578125" customWidth="1"/>
    <col min="8" max="8" width="6.5703125" customWidth="1"/>
    <col min="9" max="9" width="6.5703125" bestFit="1" customWidth="1"/>
    <col min="10" max="10" width="6.5703125" customWidth="1"/>
    <col min="11" max="11" width="6.140625" customWidth="1"/>
    <col min="12" max="12" width="6.140625" bestFit="1" customWidth="1"/>
    <col min="13" max="13" width="10.5703125" bestFit="1" customWidth="1"/>
    <col min="14" max="14" width="11.85546875" bestFit="1" customWidth="1"/>
    <col min="15" max="16" width="5" bestFit="1" customWidth="1"/>
    <col min="18" max="18" width="11.85546875" bestFit="1" customWidth="1"/>
    <col min="20" max="20" width="12.42578125" bestFit="1" customWidth="1"/>
  </cols>
  <sheetData>
    <row r="1" spans="2:18" ht="13.5" thickBot="1" x14ac:dyDescent="0.25"/>
    <row r="2" spans="2:18" x14ac:dyDescent="0.2">
      <c r="B2" s="112" t="s">
        <v>4</v>
      </c>
      <c r="C2" s="124" t="s">
        <v>46</v>
      </c>
      <c r="D2" s="418" t="s">
        <v>44</v>
      </c>
      <c r="E2" s="419"/>
      <c r="F2" s="383"/>
      <c r="M2" s="200" t="s">
        <v>39</v>
      </c>
      <c r="N2" s="201" t="s">
        <v>40</v>
      </c>
      <c r="O2" s="88"/>
      <c r="P2" s="88"/>
      <c r="Q2" s="88"/>
      <c r="R2" s="89"/>
    </row>
    <row r="3" spans="2:18" ht="13.5" thickBot="1" x14ac:dyDescent="0.25">
      <c r="B3" s="256"/>
      <c r="C3" s="105" t="s">
        <v>47</v>
      </c>
      <c r="D3" s="75" t="s">
        <v>42</v>
      </c>
      <c r="E3" s="126" t="s">
        <v>43</v>
      </c>
      <c r="F3" s="117" t="s">
        <v>45</v>
      </c>
      <c r="G3" s="107"/>
      <c r="H3" s="107"/>
      <c r="M3" s="416" t="s">
        <v>41</v>
      </c>
      <c r="N3" s="417"/>
      <c r="O3" s="420" t="s">
        <v>70</v>
      </c>
      <c r="P3" s="421"/>
      <c r="Q3" s="196" t="s">
        <v>76</v>
      </c>
      <c r="R3" s="205"/>
    </row>
    <row r="4" spans="2:18" x14ac:dyDescent="0.2">
      <c r="B4" s="259">
        <v>39448</v>
      </c>
      <c r="C4" s="121">
        <v>1</v>
      </c>
      <c r="D4" s="114">
        <v>14</v>
      </c>
      <c r="E4" s="66">
        <v>52</v>
      </c>
      <c r="F4" s="109">
        <f>D4+E4/60</f>
        <v>14.866666666666667</v>
      </c>
      <c r="G4" s="107"/>
      <c r="H4" s="107"/>
      <c r="M4" s="422">
        <v>36900.783888888887</v>
      </c>
      <c r="N4" s="423"/>
      <c r="O4" s="342"/>
      <c r="P4" s="342" t="s">
        <v>6</v>
      </c>
      <c r="Q4" s="424" t="s">
        <v>93</v>
      </c>
      <c r="R4" s="425"/>
    </row>
    <row r="5" spans="2:18" x14ac:dyDescent="0.2">
      <c r="B5" s="260">
        <v>39449</v>
      </c>
      <c r="C5" s="94">
        <f>C4+1</f>
        <v>2</v>
      </c>
      <c r="D5" s="115">
        <v>14</v>
      </c>
      <c r="E5" s="66">
        <v>47</v>
      </c>
      <c r="F5" s="110">
        <f t="shared" ref="F5:F34" si="0">D5+E5/60</f>
        <v>14.783333333333333</v>
      </c>
      <c r="G5" s="107"/>
      <c r="H5" s="107"/>
      <c r="M5" s="422">
        <v>40151.959861111114</v>
      </c>
      <c r="N5" s="341">
        <f>M5-M4</f>
        <v>3251.1759722222268</v>
      </c>
      <c r="O5" s="342" t="s">
        <v>38</v>
      </c>
      <c r="P5" s="301" t="s">
        <v>6</v>
      </c>
      <c r="Q5" s="424" t="s">
        <v>94</v>
      </c>
      <c r="R5" s="425"/>
    </row>
    <row r="6" spans="2:18" x14ac:dyDescent="0.2">
      <c r="B6" s="260">
        <v>39450</v>
      </c>
      <c r="C6" s="94">
        <f t="shared" ref="C6:C33" si="1">C5+1</f>
        <v>3</v>
      </c>
      <c r="D6" s="115">
        <v>14</v>
      </c>
      <c r="E6" s="66">
        <v>45</v>
      </c>
      <c r="F6" s="110">
        <f t="shared" si="0"/>
        <v>14.75</v>
      </c>
      <c r="G6" s="107"/>
      <c r="H6" s="107"/>
      <c r="M6" s="204" t="s">
        <v>71</v>
      </c>
      <c r="N6" s="202">
        <f>N5/119</f>
        <v>27.320806489262409</v>
      </c>
      <c r="O6" s="203" t="s">
        <v>38</v>
      </c>
      <c r="P6" s="4"/>
      <c r="Q6" s="343" t="s">
        <v>75</v>
      </c>
      <c r="R6" s="344">
        <f>ROUND((N5/27.3),0)</f>
        <v>119</v>
      </c>
    </row>
    <row r="7" spans="2:18" ht="13.5" thickBot="1" x14ac:dyDescent="0.25">
      <c r="B7" s="260">
        <v>39451</v>
      </c>
      <c r="C7" s="94">
        <f t="shared" si="1"/>
        <v>4</v>
      </c>
      <c r="D7" s="115">
        <v>14</v>
      </c>
      <c r="E7" s="66">
        <v>45</v>
      </c>
      <c r="F7" s="110">
        <f t="shared" si="0"/>
        <v>14.75</v>
      </c>
      <c r="G7" s="107"/>
      <c r="H7" s="107"/>
      <c r="M7" s="340"/>
      <c r="N7" s="102"/>
      <c r="O7" s="102"/>
      <c r="P7" s="37"/>
      <c r="Q7" s="345" t="s">
        <v>69</v>
      </c>
      <c r="R7" s="346">
        <f>N5/365.256</f>
        <v>8.901088475541064</v>
      </c>
    </row>
    <row r="8" spans="2:18" x14ac:dyDescent="0.2">
      <c r="B8" s="260">
        <v>39452</v>
      </c>
      <c r="C8" s="94">
        <f t="shared" si="1"/>
        <v>5</v>
      </c>
      <c r="D8" s="115">
        <v>14</v>
      </c>
      <c r="E8" s="66">
        <v>48</v>
      </c>
      <c r="F8" s="110">
        <f t="shared" si="0"/>
        <v>14.8</v>
      </c>
      <c r="G8" s="107"/>
      <c r="H8" s="107"/>
      <c r="M8" s="297"/>
      <c r="N8" s="297"/>
      <c r="O8" s="142"/>
      <c r="P8" s="142"/>
    </row>
    <row r="9" spans="2:18" x14ac:dyDescent="0.2">
      <c r="B9" s="260">
        <v>39453</v>
      </c>
      <c r="C9" s="94">
        <f t="shared" si="1"/>
        <v>6</v>
      </c>
      <c r="D9" s="115">
        <v>14</v>
      </c>
      <c r="E9" s="66">
        <v>52</v>
      </c>
      <c r="F9" s="110">
        <f t="shared" si="0"/>
        <v>14.866666666666667</v>
      </c>
      <c r="G9" s="107"/>
      <c r="H9" s="107"/>
      <c r="M9" s="371"/>
      <c r="N9" s="371"/>
      <c r="O9" s="142"/>
      <c r="P9" s="142"/>
      <c r="R9" s="332"/>
    </row>
    <row r="10" spans="2:18" x14ac:dyDescent="0.2">
      <c r="B10" s="260">
        <v>39454</v>
      </c>
      <c r="C10" s="94">
        <f t="shared" si="1"/>
        <v>7</v>
      </c>
      <c r="D10" s="115">
        <v>14</v>
      </c>
      <c r="E10" s="66">
        <v>58</v>
      </c>
      <c r="F10" s="110">
        <f t="shared" si="0"/>
        <v>14.966666666666667</v>
      </c>
      <c r="G10" s="107"/>
      <c r="H10" s="107"/>
      <c r="M10" s="338"/>
      <c r="N10" s="174"/>
      <c r="O10" s="142"/>
      <c r="P10" s="170"/>
      <c r="R10" s="297"/>
    </row>
    <row r="11" spans="2:18" x14ac:dyDescent="0.2">
      <c r="B11" s="260">
        <v>39455</v>
      </c>
      <c r="C11" s="94">
        <f t="shared" si="1"/>
        <v>8</v>
      </c>
      <c r="D11" s="116">
        <v>15</v>
      </c>
      <c r="E11" s="66">
        <v>5</v>
      </c>
      <c r="F11" s="110">
        <f t="shared" si="0"/>
        <v>15.083333333333334</v>
      </c>
      <c r="G11" s="107"/>
      <c r="H11" s="107"/>
      <c r="M11" s="338"/>
      <c r="N11" s="339"/>
      <c r="O11" s="142"/>
      <c r="P11" s="170"/>
      <c r="R11" s="335"/>
    </row>
    <row r="12" spans="2:18" x14ac:dyDescent="0.2">
      <c r="B12" s="260">
        <v>39456</v>
      </c>
      <c r="C12" s="94">
        <f t="shared" si="1"/>
        <v>9</v>
      </c>
      <c r="D12" s="116">
        <v>15</v>
      </c>
      <c r="E12" s="66">
        <v>13</v>
      </c>
      <c r="F12" s="110">
        <f t="shared" si="0"/>
        <v>15.216666666666667</v>
      </c>
      <c r="G12" s="107"/>
      <c r="H12" s="107"/>
      <c r="M12" s="174"/>
      <c r="N12" s="339"/>
      <c r="O12" s="173"/>
      <c r="P12" s="142"/>
      <c r="R12" s="336"/>
    </row>
    <row r="13" spans="2:18" x14ac:dyDescent="0.2">
      <c r="B13" s="260">
        <v>39457</v>
      </c>
      <c r="C13" s="94">
        <f t="shared" si="1"/>
        <v>10</v>
      </c>
      <c r="D13" s="116">
        <v>15</v>
      </c>
      <c r="E13" s="66">
        <v>21</v>
      </c>
      <c r="F13" s="110">
        <f t="shared" si="0"/>
        <v>15.35</v>
      </c>
      <c r="G13" s="107"/>
      <c r="H13" s="107"/>
      <c r="K13" s="97"/>
      <c r="L13" s="97"/>
      <c r="M13" s="142"/>
      <c r="N13" s="142"/>
      <c r="O13" s="142"/>
      <c r="P13" s="142"/>
      <c r="R13" s="336"/>
    </row>
    <row r="14" spans="2:18" x14ac:dyDescent="0.2">
      <c r="B14" s="260">
        <v>39458</v>
      </c>
      <c r="C14" s="94">
        <f t="shared" si="1"/>
        <v>11</v>
      </c>
      <c r="D14" s="116">
        <v>15</v>
      </c>
      <c r="E14" s="66">
        <v>29</v>
      </c>
      <c r="F14" s="110">
        <f t="shared" si="0"/>
        <v>15.483333333333333</v>
      </c>
      <c r="G14" s="107"/>
      <c r="H14" s="107"/>
      <c r="K14" s="97"/>
      <c r="L14" s="97"/>
      <c r="M14" s="338"/>
      <c r="N14" s="174"/>
      <c r="O14" s="142"/>
      <c r="P14" s="142"/>
      <c r="R14" s="103"/>
    </row>
    <row r="15" spans="2:18" x14ac:dyDescent="0.2">
      <c r="B15" s="260">
        <v>39459</v>
      </c>
      <c r="C15" s="94">
        <f t="shared" si="1"/>
        <v>12</v>
      </c>
      <c r="D15" s="116">
        <v>15</v>
      </c>
      <c r="E15" s="66">
        <v>37</v>
      </c>
      <c r="F15" s="110">
        <f t="shared" si="0"/>
        <v>15.616666666666667</v>
      </c>
      <c r="G15" s="107"/>
      <c r="H15" s="107"/>
      <c r="K15" s="97"/>
      <c r="L15" s="97"/>
      <c r="M15" s="338"/>
      <c r="N15" s="339"/>
      <c r="O15" s="142"/>
      <c r="P15" s="142"/>
      <c r="R15" s="50"/>
    </row>
    <row r="16" spans="2:18" x14ac:dyDescent="0.2">
      <c r="B16" s="260">
        <v>39460</v>
      </c>
      <c r="C16" s="94">
        <f t="shared" si="1"/>
        <v>13</v>
      </c>
      <c r="D16" s="116">
        <v>15</v>
      </c>
      <c r="E16" s="66">
        <v>44</v>
      </c>
      <c r="F16" s="110">
        <f t="shared" si="0"/>
        <v>15.733333333333333</v>
      </c>
      <c r="G16" s="107"/>
      <c r="H16" s="107"/>
      <c r="K16" s="97"/>
      <c r="L16" s="97"/>
      <c r="M16" s="174"/>
      <c r="N16" s="339"/>
      <c r="O16" s="173"/>
      <c r="P16" s="142"/>
      <c r="R16" s="95"/>
    </row>
    <row r="17" spans="2:21" x14ac:dyDescent="0.2">
      <c r="B17" s="260">
        <v>39461</v>
      </c>
      <c r="C17" s="94">
        <f t="shared" si="1"/>
        <v>14</v>
      </c>
      <c r="D17" s="116">
        <v>15</v>
      </c>
      <c r="E17" s="66">
        <v>52</v>
      </c>
      <c r="F17" s="110">
        <f t="shared" si="0"/>
        <v>15.866666666666667</v>
      </c>
      <c r="G17" s="107"/>
      <c r="H17" s="107"/>
      <c r="K17" s="97"/>
      <c r="L17" s="97"/>
      <c r="R17" s="95"/>
    </row>
    <row r="18" spans="2:21" x14ac:dyDescent="0.2">
      <c r="B18" s="260">
        <v>39462</v>
      </c>
      <c r="C18" s="94">
        <f t="shared" si="1"/>
        <v>15</v>
      </c>
      <c r="D18" s="116">
        <v>15</v>
      </c>
      <c r="E18" s="66">
        <v>59</v>
      </c>
      <c r="F18" s="110">
        <f t="shared" si="0"/>
        <v>15.983333333333333</v>
      </c>
      <c r="G18" s="107"/>
      <c r="H18" s="107"/>
      <c r="K18" s="97"/>
      <c r="L18" s="97"/>
      <c r="R18" s="95"/>
    </row>
    <row r="19" spans="2:21" x14ac:dyDescent="0.2">
      <c r="B19" s="260">
        <v>39463</v>
      </c>
      <c r="C19" s="94">
        <f t="shared" si="1"/>
        <v>16</v>
      </c>
      <c r="D19" s="116">
        <v>16</v>
      </c>
      <c r="E19" s="66">
        <v>6</v>
      </c>
      <c r="F19" s="110">
        <f t="shared" si="0"/>
        <v>16.100000000000001</v>
      </c>
      <c r="G19" s="107"/>
      <c r="H19" s="107"/>
      <c r="K19" s="97"/>
      <c r="L19" s="97"/>
      <c r="R19" s="332"/>
    </row>
    <row r="20" spans="2:21" x14ac:dyDescent="0.2">
      <c r="B20" s="260">
        <v>39464</v>
      </c>
      <c r="C20" s="94">
        <f t="shared" si="1"/>
        <v>17</v>
      </c>
      <c r="D20" s="116">
        <v>16</v>
      </c>
      <c r="E20" s="66">
        <v>12</v>
      </c>
      <c r="F20" s="110">
        <f t="shared" si="0"/>
        <v>16.2</v>
      </c>
      <c r="G20" s="107"/>
      <c r="H20" s="107"/>
      <c r="K20" s="97"/>
      <c r="L20" s="97"/>
      <c r="Q20" s="119"/>
      <c r="R20" s="297"/>
    </row>
    <row r="21" spans="2:21" x14ac:dyDescent="0.2">
      <c r="B21" s="260">
        <v>39465</v>
      </c>
      <c r="C21" s="94">
        <f t="shared" si="1"/>
        <v>18</v>
      </c>
      <c r="D21" s="116">
        <v>16</v>
      </c>
      <c r="E21" s="66">
        <v>16</v>
      </c>
      <c r="F21" s="110">
        <f t="shared" si="0"/>
        <v>16.266666666666666</v>
      </c>
      <c r="G21" s="107"/>
      <c r="H21" s="107"/>
      <c r="K21" s="97"/>
      <c r="L21" s="97"/>
      <c r="Q21" s="119"/>
      <c r="R21" s="335"/>
    </row>
    <row r="22" spans="2:21" x14ac:dyDescent="0.2">
      <c r="B22" s="260">
        <v>39466</v>
      </c>
      <c r="C22" s="94">
        <f t="shared" si="1"/>
        <v>19</v>
      </c>
      <c r="D22" s="116">
        <v>16</v>
      </c>
      <c r="E22" s="66">
        <v>18</v>
      </c>
      <c r="F22" s="110">
        <f t="shared" si="0"/>
        <v>16.3</v>
      </c>
      <c r="G22" s="107"/>
      <c r="H22" s="107"/>
      <c r="K22" s="97"/>
      <c r="L22" s="97"/>
      <c r="Q22" s="119"/>
      <c r="R22" s="336"/>
    </row>
    <row r="23" spans="2:21" x14ac:dyDescent="0.2">
      <c r="B23" s="260">
        <v>39467</v>
      </c>
      <c r="C23" s="94">
        <f t="shared" si="1"/>
        <v>20</v>
      </c>
      <c r="D23" s="116">
        <v>16</v>
      </c>
      <c r="E23" s="66">
        <v>18</v>
      </c>
      <c r="F23" s="110">
        <f t="shared" si="0"/>
        <v>16.3</v>
      </c>
      <c r="G23" s="107"/>
      <c r="H23" s="107"/>
      <c r="K23" s="97"/>
      <c r="L23" s="97"/>
      <c r="Q23" s="119"/>
      <c r="R23" s="336"/>
    </row>
    <row r="24" spans="2:21" x14ac:dyDescent="0.2">
      <c r="B24" s="260">
        <v>39468</v>
      </c>
      <c r="C24" s="94">
        <f t="shared" si="1"/>
        <v>21</v>
      </c>
      <c r="D24" s="116">
        <v>16</v>
      </c>
      <c r="E24" s="66">
        <v>14</v>
      </c>
      <c r="F24" s="110">
        <f t="shared" si="0"/>
        <v>16.233333333333334</v>
      </c>
      <c r="G24" s="107"/>
      <c r="H24" s="107"/>
      <c r="R24" s="103"/>
    </row>
    <row r="25" spans="2:21" x14ac:dyDescent="0.2">
      <c r="B25" s="260">
        <v>39469</v>
      </c>
      <c r="C25" s="94">
        <f t="shared" si="1"/>
        <v>22</v>
      </c>
      <c r="D25" s="116">
        <v>16</v>
      </c>
      <c r="E25" s="66">
        <v>8</v>
      </c>
      <c r="F25" s="110">
        <f t="shared" si="0"/>
        <v>16.133333333333333</v>
      </c>
      <c r="G25" s="107"/>
      <c r="H25" s="107"/>
      <c r="R25" s="50"/>
      <c r="S25" s="333"/>
      <c r="T25" s="103"/>
      <c r="U25" s="95"/>
    </row>
    <row r="26" spans="2:21" x14ac:dyDescent="0.2">
      <c r="B26" s="260">
        <v>39470</v>
      </c>
      <c r="C26" s="94">
        <f t="shared" si="1"/>
        <v>23</v>
      </c>
      <c r="D26" s="116">
        <v>15</v>
      </c>
      <c r="E26" s="66">
        <v>58</v>
      </c>
      <c r="F26" s="110">
        <f t="shared" si="0"/>
        <v>15.966666666666667</v>
      </c>
      <c r="G26" s="107"/>
      <c r="H26" s="107"/>
      <c r="R26" s="95"/>
      <c r="S26" s="297"/>
      <c r="T26" s="262"/>
      <c r="U26" s="95"/>
    </row>
    <row r="27" spans="2:21" x14ac:dyDescent="0.2">
      <c r="B27" s="260">
        <v>39471</v>
      </c>
      <c r="C27" s="94">
        <f t="shared" si="1"/>
        <v>24</v>
      </c>
      <c r="D27" s="116">
        <v>15</v>
      </c>
      <c r="E27" s="66">
        <v>47</v>
      </c>
      <c r="F27" s="110">
        <f t="shared" si="0"/>
        <v>15.783333333333333</v>
      </c>
      <c r="G27" s="107"/>
      <c r="H27" s="107"/>
      <c r="R27" s="95"/>
      <c r="S27" s="222"/>
      <c r="T27" s="335"/>
      <c r="U27" s="95"/>
    </row>
    <row r="28" spans="2:21" x14ac:dyDescent="0.2">
      <c r="B28" s="260">
        <v>39472</v>
      </c>
      <c r="C28" s="94">
        <f t="shared" si="1"/>
        <v>25</v>
      </c>
      <c r="D28" s="116">
        <v>15</v>
      </c>
      <c r="E28" s="66">
        <v>35</v>
      </c>
      <c r="F28" s="110">
        <f t="shared" si="0"/>
        <v>15.583333333333334</v>
      </c>
      <c r="G28" s="107"/>
      <c r="H28" s="107"/>
      <c r="S28" s="262"/>
      <c r="T28" s="335"/>
      <c r="U28" s="95"/>
    </row>
    <row r="29" spans="2:21" ht="14.25" x14ac:dyDescent="0.2">
      <c r="B29" s="260">
        <v>39473</v>
      </c>
      <c r="C29" s="94">
        <f t="shared" si="1"/>
        <v>26</v>
      </c>
      <c r="D29" s="116">
        <v>15</v>
      </c>
      <c r="E29" s="66">
        <v>22</v>
      </c>
      <c r="F29" s="110">
        <f t="shared" si="0"/>
        <v>15.366666666666667</v>
      </c>
      <c r="G29" s="107"/>
      <c r="H29" s="107"/>
      <c r="P29" s="108"/>
      <c r="S29" s="262"/>
      <c r="T29" s="299"/>
      <c r="U29" s="95"/>
    </row>
    <row r="30" spans="2:21" x14ac:dyDescent="0.2">
      <c r="B30" s="260">
        <v>39474</v>
      </c>
      <c r="C30" s="94">
        <f t="shared" si="1"/>
        <v>27</v>
      </c>
      <c r="D30" s="116">
        <v>15</v>
      </c>
      <c r="E30" s="66">
        <v>10</v>
      </c>
      <c r="F30" s="110">
        <f t="shared" si="0"/>
        <v>15.166666666666666</v>
      </c>
      <c r="G30" s="107"/>
      <c r="H30" s="107"/>
      <c r="S30" s="334"/>
      <c r="T30" s="103"/>
      <c r="U30" s="95"/>
    </row>
    <row r="31" spans="2:21" x14ac:dyDescent="0.2">
      <c r="B31" s="260">
        <v>39475</v>
      </c>
      <c r="C31" s="94">
        <f t="shared" si="1"/>
        <v>28</v>
      </c>
      <c r="D31" s="116">
        <v>15</v>
      </c>
      <c r="E31" s="66">
        <v>1</v>
      </c>
      <c r="F31" s="110">
        <f t="shared" si="0"/>
        <v>15.016666666666667</v>
      </c>
      <c r="G31" s="107"/>
      <c r="H31" s="107"/>
      <c r="S31" s="95"/>
      <c r="T31" s="103"/>
      <c r="U31" s="95"/>
    </row>
    <row r="32" spans="2:21" x14ac:dyDescent="0.2">
      <c r="B32" s="260">
        <v>39476</v>
      </c>
      <c r="C32" s="94">
        <f t="shared" si="1"/>
        <v>29</v>
      </c>
      <c r="D32" s="116">
        <v>14</v>
      </c>
      <c r="E32" s="66">
        <v>53</v>
      </c>
      <c r="F32" s="110">
        <f t="shared" si="0"/>
        <v>14.883333333333333</v>
      </c>
      <c r="G32" s="107"/>
      <c r="H32" s="107"/>
      <c r="S32" s="95"/>
      <c r="T32" s="95"/>
      <c r="U32" s="95"/>
    </row>
    <row r="33" spans="2:21" x14ac:dyDescent="0.2">
      <c r="B33" s="260">
        <v>39477</v>
      </c>
      <c r="C33" s="94">
        <f t="shared" si="1"/>
        <v>30</v>
      </c>
      <c r="D33" s="116">
        <v>14</v>
      </c>
      <c r="E33" s="66">
        <v>48</v>
      </c>
      <c r="F33" s="110">
        <f t="shared" si="0"/>
        <v>14.8</v>
      </c>
      <c r="G33" s="107"/>
      <c r="H33" s="107"/>
      <c r="S33" s="95"/>
      <c r="T33" s="95"/>
      <c r="U33" s="95"/>
    </row>
    <row r="34" spans="2:21" x14ac:dyDescent="0.2">
      <c r="B34" s="260">
        <v>39478</v>
      </c>
      <c r="C34" s="94">
        <f t="shared" ref="C34" si="2">C33+1</f>
        <v>31</v>
      </c>
      <c r="D34" s="116">
        <v>14</v>
      </c>
      <c r="E34" s="66">
        <v>46</v>
      </c>
      <c r="F34" s="110">
        <f t="shared" si="0"/>
        <v>14.766666666666667</v>
      </c>
      <c r="S34" s="95"/>
      <c r="T34" s="95"/>
      <c r="U34" s="95"/>
    </row>
    <row r="35" spans="2:21" x14ac:dyDescent="0.2">
      <c r="B35" s="260">
        <v>39479</v>
      </c>
      <c r="C35" s="94">
        <f t="shared" ref="C35:C94" si="3">C34+1</f>
        <v>32</v>
      </c>
      <c r="D35" s="116">
        <v>14</v>
      </c>
      <c r="E35" s="66">
        <v>47</v>
      </c>
      <c r="F35" s="110">
        <f t="shared" ref="F35:F85" si="4">D35+E35/60</f>
        <v>14.783333333333333</v>
      </c>
      <c r="S35" s="333"/>
      <c r="T35" s="103"/>
      <c r="U35" s="95"/>
    </row>
    <row r="36" spans="2:21" x14ac:dyDescent="0.2">
      <c r="B36" s="260">
        <v>39480</v>
      </c>
      <c r="C36" s="94">
        <f t="shared" si="3"/>
        <v>33</v>
      </c>
      <c r="D36" s="116">
        <v>14</v>
      </c>
      <c r="E36" s="66">
        <v>51</v>
      </c>
      <c r="F36" s="110">
        <f t="shared" si="4"/>
        <v>14.85</v>
      </c>
      <c r="S36" s="297"/>
      <c r="T36" s="262"/>
      <c r="U36" s="262"/>
    </row>
    <row r="37" spans="2:21" x14ac:dyDescent="0.2">
      <c r="B37" s="260">
        <v>39481</v>
      </c>
      <c r="C37" s="94">
        <f t="shared" si="3"/>
        <v>34</v>
      </c>
      <c r="D37" s="116">
        <v>14</v>
      </c>
      <c r="E37" s="125">
        <v>57</v>
      </c>
      <c r="F37" s="111">
        <f t="shared" si="4"/>
        <v>14.95</v>
      </c>
      <c r="S37" s="222"/>
      <c r="T37" s="335"/>
      <c r="U37" s="262"/>
    </row>
    <row r="38" spans="2:21" x14ac:dyDescent="0.2">
      <c r="B38" s="260">
        <v>39482</v>
      </c>
      <c r="C38" s="94">
        <f t="shared" si="3"/>
        <v>35</v>
      </c>
      <c r="D38" s="116">
        <v>15</v>
      </c>
      <c r="E38" s="125">
        <v>5</v>
      </c>
      <c r="F38" s="111">
        <f t="shared" si="4"/>
        <v>15.083333333333334</v>
      </c>
      <c r="S38" s="262"/>
      <c r="T38" s="335"/>
      <c r="U38" s="262"/>
    </row>
    <row r="39" spans="2:21" x14ac:dyDescent="0.2">
      <c r="B39" s="260">
        <v>39483</v>
      </c>
      <c r="C39" s="94">
        <f t="shared" si="3"/>
        <v>36</v>
      </c>
      <c r="D39" s="116">
        <v>15</v>
      </c>
      <c r="E39" s="125">
        <v>14</v>
      </c>
      <c r="F39" s="111">
        <f t="shared" si="4"/>
        <v>15.233333333333333</v>
      </c>
      <c r="S39" s="262"/>
      <c r="T39" s="299"/>
      <c r="U39" s="262"/>
    </row>
    <row r="40" spans="2:21" x14ac:dyDescent="0.2">
      <c r="B40" s="260">
        <v>39484</v>
      </c>
      <c r="C40" s="94">
        <f t="shared" si="3"/>
        <v>37</v>
      </c>
      <c r="D40" s="116">
        <v>15</v>
      </c>
      <c r="E40" s="125">
        <v>24</v>
      </c>
      <c r="F40" s="111">
        <f t="shared" si="4"/>
        <v>15.4</v>
      </c>
      <c r="S40" s="334"/>
      <c r="T40" s="103"/>
      <c r="U40" s="95"/>
    </row>
    <row r="41" spans="2:21" x14ac:dyDescent="0.2">
      <c r="B41" s="260">
        <v>39485</v>
      </c>
      <c r="C41" s="94">
        <f t="shared" si="3"/>
        <v>38</v>
      </c>
      <c r="D41" s="116">
        <v>15</v>
      </c>
      <c r="E41" s="125">
        <v>34</v>
      </c>
      <c r="F41" s="111">
        <f t="shared" si="4"/>
        <v>15.566666666666666</v>
      </c>
      <c r="S41" s="95"/>
      <c r="T41" s="103"/>
      <c r="U41" s="95"/>
    </row>
    <row r="42" spans="2:21" x14ac:dyDescent="0.2">
      <c r="B42" s="260">
        <v>39486</v>
      </c>
      <c r="C42" s="94">
        <f t="shared" si="3"/>
        <v>39</v>
      </c>
      <c r="D42" s="116">
        <v>15</v>
      </c>
      <c r="E42" s="125">
        <v>43</v>
      </c>
      <c r="F42" s="111">
        <f t="shared" si="4"/>
        <v>15.716666666666667</v>
      </c>
      <c r="S42" s="95"/>
      <c r="T42" s="95"/>
      <c r="U42" s="95"/>
    </row>
    <row r="43" spans="2:21" x14ac:dyDescent="0.2">
      <c r="B43" s="260">
        <v>39487</v>
      </c>
      <c r="C43" s="94">
        <f t="shared" si="3"/>
        <v>40</v>
      </c>
      <c r="D43" s="116">
        <v>15</v>
      </c>
      <c r="E43" s="125">
        <v>51</v>
      </c>
      <c r="F43" s="111">
        <f t="shared" si="4"/>
        <v>15.85</v>
      </c>
      <c r="S43" s="95"/>
      <c r="T43" s="95"/>
      <c r="U43" s="95"/>
    </row>
    <row r="44" spans="2:21" x14ac:dyDescent="0.2">
      <c r="B44" s="260">
        <v>39488</v>
      </c>
      <c r="C44" s="94">
        <f t="shared" si="3"/>
        <v>41</v>
      </c>
      <c r="D44" s="116">
        <v>15</v>
      </c>
      <c r="E44" s="125">
        <v>57</v>
      </c>
      <c r="F44" s="111">
        <f t="shared" si="4"/>
        <v>15.95</v>
      </c>
    </row>
    <row r="45" spans="2:21" x14ac:dyDescent="0.2">
      <c r="B45" s="260">
        <v>39489</v>
      </c>
      <c r="C45" s="94">
        <f t="shared" si="3"/>
        <v>42</v>
      </c>
      <c r="D45" s="116">
        <v>16</v>
      </c>
      <c r="E45" s="125">
        <v>2</v>
      </c>
      <c r="F45" s="111">
        <f t="shared" si="4"/>
        <v>16.033333333333335</v>
      </c>
    </row>
    <row r="46" spans="2:21" x14ac:dyDescent="0.2">
      <c r="B46" s="260">
        <v>39490</v>
      </c>
      <c r="C46" s="94">
        <f t="shared" si="3"/>
        <v>43</v>
      </c>
      <c r="D46" s="116">
        <v>16</v>
      </c>
      <c r="E46" s="125">
        <v>6</v>
      </c>
      <c r="F46" s="111">
        <f t="shared" si="4"/>
        <v>16.100000000000001</v>
      </c>
    </row>
    <row r="47" spans="2:21" x14ac:dyDescent="0.2">
      <c r="B47" s="260">
        <v>39491</v>
      </c>
      <c r="C47" s="94">
        <f t="shared" si="3"/>
        <v>44</v>
      </c>
      <c r="D47" s="116">
        <v>16</v>
      </c>
      <c r="E47" s="125">
        <v>8</v>
      </c>
      <c r="F47" s="111">
        <f t="shared" si="4"/>
        <v>16.133333333333333</v>
      </c>
    </row>
    <row r="48" spans="2:21" x14ac:dyDescent="0.2">
      <c r="B48" s="260">
        <v>39492</v>
      </c>
      <c r="C48" s="94">
        <f t="shared" si="3"/>
        <v>45</v>
      </c>
      <c r="D48" s="116">
        <v>16</v>
      </c>
      <c r="E48" s="125">
        <v>8</v>
      </c>
      <c r="F48" s="111">
        <f t="shared" si="4"/>
        <v>16.133333333333333</v>
      </c>
      <c r="G48" s="361"/>
    </row>
    <row r="49" spans="2:6" x14ac:dyDescent="0.2">
      <c r="B49" s="260">
        <v>39493</v>
      </c>
      <c r="C49" s="94">
        <f t="shared" si="3"/>
        <v>46</v>
      </c>
      <c r="D49" s="116">
        <v>16</v>
      </c>
      <c r="E49" s="125">
        <v>8</v>
      </c>
      <c r="F49" s="111">
        <f t="shared" si="4"/>
        <v>16.133333333333333</v>
      </c>
    </row>
    <row r="50" spans="2:6" x14ac:dyDescent="0.2">
      <c r="B50" s="260">
        <v>39494</v>
      </c>
      <c r="C50" s="94">
        <f t="shared" si="3"/>
        <v>47</v>
      </c>
      <c r="D50" s="116">
        <v>16</v>
      </c>
      <c r="E50" s="125">
        <v>6</v>
      </c>
      <c r="F50" s="111">
        <f t="shared" si="4"/>
        <v>16.100000000000001</v>
      </c>
    </row>
    <row r="51" spans="2:6" x14ac:dyDescent="0.2">
      <c r="B51" s="260">
        <v>39495</v>
      </c>
      <c r="C51" s="94">
        <f t="shared" si="3"/>
        <v>48</v>
      </c>
      <c r="D51" s="116">
        <v>16</v>
      </c>
      <c r="E51" s="125">
        <v>3</v>
      </c>
      <c r="F51" s="111">
        <f t="shared" si="4"/>
        <v>16.05</v>
      </c>
    </row>
    <row r="52" spans="2:6" x14ac:dyDescent="0.2">
      <c r="B52" s="260">
        <v>39496</v>
      </c>
      <c r="C52" s="94">
        <f t="shared" si="3"/>
        <v>49</v>
      </c>
      <c r="D52" s="116">
        <v>15</v>
      </c>
      <c r="E52" s="125">
        <v>58</v>
      </c>
      <c r="F52" s="111">
        <f t="shared" si="4"/>
        <v>15.966666666666667</v>
      </c>
    </row>
    <row r="53" spans="2:6" x14ac:dyDescent="0.2">
      <c r="B53" s="260">
        <v>39497</v>
      </c>
      <c r="C53" s="94">
        <f t="shared" si="3"/>
        <v>50</v>
      </c>
      <c r="D53" s="116">
        <v>15</v>
      </c>
      <c r="E53" s="125">
        <v>52</v>
      </c>
      <c r="F53" s="111">
        <f t="shared" si="4"/>
        <v>15.866666666666667</v>
      </c>
    </row>
    <row r="54" spans="2:6" x14ac:dyDescent="0.2">
      <c r="B54" s="260">
        <v>39498</v>
      </c>
      <c r="C54" s="94">
        <f t="shared" si="3"/>
        <v>51</v>
      </c>
      <c r="D54" s="116">
        <v>15</v>
      </c>
      <c r="E54" s="125">
        <v>44</v>
      </c>
      <c r="F54" s="111">
        <f t="shared" si="4"/>
        <v>15.733333333333333</v>
      </c>
    </row>
    <row r="55" spans="2:6" x14ac:dyDescent="0.2">
      <c r="B55" s="260">
        <v>39499</v>
      </c>
      <c r="C55" s="94">
        <f t="shared" si="3"/>
        <v>52</v>
      </c>
      <c r="D55" s="116">
        <v>15</v>
      </c>
      <c r="E55" s="125">
        <v>36</v>
      </c>
      <c r="F55" s="111">
        <f t="shared" si="4"/>
        <v>15.6</v>
      </c>
    </row>
    <row r="56" spans="2:6" x14ac:dyDescent="0.2">
      <c r="B56" s="260">
        <v>39500</v>
      </c>
      <c r="C56" s="94">
        <f t="shared" si="3"/>
        <v>53</v>
      </c>
      <c r="D56" s="116">
        <v>15</v>
      </c>
      <c r="E56" s="125">
        <v>26</v>
      </c>
      <c r="F56" s="111">
        <f t="shared" si="4"/>
        <v>15.433333333333334</v>
      </c>
    </row>
    <row r="57" spans="2:6" x14ac:dyDescent="0.2">
      <c r="B57" s="260">
        <v>39501</v>
      </c>
      <c r="C57" s="94">
        <f t="shared" si="3"/>
        <v>54</v>
      </c>
      <c r="D57" s="116">
        <v>15</v>
      </c>
      <c r="E57" s="125">
        <v>16</v>
      </c>
      <c r="F57" s="111">
        <f t="shared" si="4"/>
        <v>15.266666666666667</v>
      </c>
    </row>
    <row r="58" spans="2:6" x14ac:dyDescent="0.2">
      <c r="B58" s="260">
        <v>39502</v>
      </c>
      <c r="C58" s="94">
        <f t="shared" si="3"/>
        <v>55</v>
      </c>
      <c r="D58" s="116">
        <v>15</v>
      </c>
      <c r="E58" s="125">
        <v>7</v>
      </c>
      <c r="F58" s="111">
        <f t="shared" si="4"/>
        <v>15.116666666666667</v>
      </c>
    </row>
    <row r="59" spans="2:6" x14ac:dyDescent="0.2">
      <c r="B59" s="260">
        <v>39503</v>
      </c>
      <c r="C59" s="94">
        <f t="shared" si="3"/>
        <v>56</v>
      </c>
      <c r="D59" s="116">
        <v>14</v>
      </c>
      <c r="E59" s="125">
        <v>59</v>
      </c>
      <c r="F59" s="111">
        <f t="shared" si="4"/>
        <v>14.983333333333333</v>
      </c>
    </row>
    <row r="60" spans="2:6" x14ac:dyDescent="0.2">
      <c r="B60" s="260">
        <v>39504</v>
      </c>
      <c r="C60" s="94">
        <f t="shared" si="3"/>
        <v>57</v>
      </c>
      <c r="D60" s="116">
        <v>14</v>
      </c>
      <c r="E60" s="125">
        <v>52</v>
      </c>
      <c r="F60" s="111">
        <f t="shared" si="4"/>
        <v>14.866666666666667</v>
      </c>
    </row>
    <row r="61" spans="2:6" x14ac:dyDescent="0.2">
      <c r="B61" s="260">
        <v>39505</v>
      </c>
      <c r="C61" s="94">
        <f t="shared" si="3"/>
        <v>58</v>
      </c>
      <c r="D61" s="116">
        <v>14</v>
      </c>
      <c r="E61" s="125">
        <v>48</v>
      </c>
      <c r="F61" s="111">
        <f t="shared" si="4"/>
        <v>14.8</v>
      </c>
    </row>
    <row r="62" spans="2:6" x14ac:dyDescent="0.2">
      <c r="B62" s="260">
        <v>39506</v>
      </c>
      <c r="C62" s="94">
        <f t="shared" si="3"/>
        <v>59</v>
      </c>
      <c r="D62" s="116">
        <v>14</v>
      </c>
      <c r="E62" s="125">
        <v>46</v>
      </c>
      <c r="F62" s="111">
        <f t="shared" si="4"/>
        <v>14.766666666666667</v>
      </c>
    </row>
    <row r="63" spans="2:6" x14ac:dyDescent="0.2">
      <c r="B63" s="260">
        <v>39507</v>
      </c>
      <c r="C63" s="94">
        <f t="shared" si="3"/>
        <v>60</v>
      </c>
      <c r="D63" s="116">
        <v>14</v>
      </c>
      <c r="E63" s="125">
        <v>48</v>
      </c>
      <c r="F63" s="111">
        <f t="shared" si="4"/>
        <v>14.8</v>
      </c>
    </row>
    <row r="64" spans="2:6" x14ac:dyDescent="0.2">
      <c r="B64" s="260">
        <v>39508</v>
      </c>
      <c r="C64" s="94">
        <f t="shared" si="3"/>
        <v>61</v>
      </c>
      <c r="D64" s="116">
        <v>14</v>
      </c>
      <c r="E64" s="125">
        <v>52</v>
      </c>
      <c r="F64" s="111">
        <f t="shared" si="4"/>
        <v>14.866666666666667</v>
      </c>
    </row>
    <row r="65" spans="2:6" x14ac:dyDescent="0.2">
      <c r="B65" s="260">
        <v>39509</v>
      </c>
      <c r="C65" s="94">
        <f t="shared" si="3"/>
        <v>62</v>
      </c>
      <c r="D65" s="116">
        <v>14</v>
      </c>
      <c r="E65" s="125">
        <v>59</v>
      </c>
      <c r="F65" s="111">
        <f t="shared" si="4"/>
        <v>14.983333333333333</v>
      </c>
    </row>
    <row r="66" spans="2:6" x14ac:dyDescent="0.2">
      <c r="B66" s="260">
        <v>39510</v>
      </c>
      <c r="C66" s="94">
        <f t="shared" si="3"/>
        <v>63</v>
      </c>
      <c r="D66" s="116">
        <v>15</v>
      </c>
      <c r="E66" s="125">
        <v>8</v>
      </c>
      <c r="F66" s="111">
        <f t="shared" si="4"/>
        <v>15.133333333333333</v>
      </c>
    </row>
    <row r="67" spans="2:6" x14ac:dyDescent="0.2">
      <c r="B67" s="260">
        <v>39511</v>
      </c>
      <c r="C67" s="94">
        <f t="shared" si="3"/>
        <v>64</v>
      </c>
      <c r="D67" s="116">
        <v>15</v>
      </c>
      <c r="E67" s="125">
        <v>19</v>
      </c>
      <c r="F67" s="111">
        <f t="shared" si="4"/>
        <v>15.316666666666666</v>
      </c>
    </row>
    <row r="68" spans="2:6" x14ac:dyDescent="0.2">
      <c r="B68" s="260">
        <v>39512</v>
      </c>
      <c r="C68" s="94">
        <f t="shared" si="3"/>
        <v>65</v>
      </c>
      <c r="D68" s="116">
        <v>15</v>
      </c>
      <c r="E68" s="125">
        <v>31</v>
      </c>
      <c r="F68" s="111">
        <f t="shared" si="4"/>
        <v>15.516666666666667</v>
      </c>
    </row>
    <row r="69" spans="2:6" x14ac:dyDescent="0.2">
      <c r="B69" s="260">
        <v>39513</v>
      </c>
      <c r="C69" s="94">
        <f t="shared" si="3"/>
        <v>66</v>
      </c>
      <c r="D69" s="116">
        <v>15</v>
      </c>
      <c r="E69" s="125">
        <v>44</v>
      </c>
      <c r="F69" s="111">
        <f t="shared" si="4"/>
        <v>15.733333333333333</v>
      </c>
    </row>
    <row r="70" spans="2:6" x14ac:dyDescent="0.2">
      <c r="B70" s="260">
        <v>39514</v>
      </c>
      <c r="C70" s="94">
        <f t="shared" si="3"/>
        <v>67</v>
      </c>
      <c r="D70" s="116">
        <v>15</v>
      </c>
      <c r="E70" s="125">
        <v>56</v>
      </c>
      <c r="F70" s="111">
        <f t="shared" si="4"/>
        <v>15.933333333333334</v>
      </c>
    </row>
    <row r="71" spans="2:6" x14ac:dyDescent="0.2">
      <c r="B71" s="260">
        <v>39515</v>
      </c>
      <c r="C71" s="94">
        <f t="shared" si="3"/>
        <v>68</v>
      </c>
      <c r="D71" s="116">
        <v>16</v>
      </c>
      <c r="E71" s="125">
        <v>6</v>
      </c>
      <c r="F71" s="111">
        <f t="shared" si="4"/>
        <v>16.100000000000001</v>
      </c>
    </row>
    <row r="72" spans="2:6" x14ac:dyDescent="0.2">
      <c r="B72" s="260">
        <v>39516</v>
      </c>
      <c r="C72" s="94">
        <f t="shared" si="3"/>
        <v>69</v>
      </c>
      <c r="D72" s="116">
        <v>16</v>
      </c>
      <c r="E72" s="125">
        <v>13</v>
      </c>
      <c r="F72" s="111">
        <f t="shared" si="4"/>
        <v>16.216666666666665</v>
      </c>
    </row>
    <row r="73" spans="2:6" x14ac:dyDescent="0.2">
      <c r="B73" s="260">
        <v>39517</v>
      </c>
      <c r="C73" s="94">
        <f t="shared" si="3"/>
        <v>70</v>
      </c>
      <c r="D73" s="116">
        <v>16</v>
      </c>
      <c r="E73" s="125">
        <v>17</v>
      </c>
      <c r="F73" s="111">
        <f t="shared" si="4"/>
        <v>16.283333333333335</v>
      </c>
    </row>
    <row r="74" spans="2:6" x14ac:dyDescent="0.2">
      <c r="B74" s="260">
        <v>39518</v>
      </c>
      <c r="C74" s="94">
        <f t="shared" si="3"/>
        <v>71</v>
      </c>
      <c r="D74" s="116">
        <v>16</v>
      </c>
      <c r="E74" s="125">
        <v>19</v>
      </c>
      <c r="F74" s="111">
        <f t="shared" si="4"/>
        <v>16.316666666666666</v>
      </c>
    </row>
    <row r="75" spans="2:6" x14ac:dyDescent="0.2">
      <c r="B75" s="260">
        <v>39519</v>
      </c>
      <c r="C75" s="94">
        <f t="shared" si="3"/>
        <v>72</v>
      </c>
      <c r="D75" s="116">
        <v>16</v>
      </c>
      <c r="E75" s="125">
        <v>17</v>
      </c>
      <c r="F75" s="111">
        <f t="shared" si="4"/>
        <v>16.283333333333335</v>
      </c>
    </row>
    <row r="76" spans="2:6" x14ac:dyDescent="0.2">
      <c r="B76" s="260">
        <v>39520</v>
      </c>
      <c r="C76" s="94">
        <f t="shared" si="3"/>
        <v>73</v>
      </c>
      <c r="D76" s="116">
        <v>16</v>
      </c>
      <c r="E76" s="125">
        <v>13</v>
      </c>
      <c r="F76" s="111">
        <f t="shared" si="4"/>
        <v>16.216666666666665</v>
      </c>
    </row>
    <row r="77" spans="2:6" x14ac:dyDescent="0.2">
      <c r="B77" s="260">
        <v>39521</v>
      </c>
      <c r="C77" s="94">
        <f t="shared" si="3"/>
        <v>74</v>
      </c>
      <c r="D77" s="116">
        <v>16</v>
      </c>
      <c r="E77" s="125">
        <v>8</v>
      </c>
      <c r="F77" s="111">
        <f t="shared" si="4"/>
        <v>16.133333333333333</v>
      </c>
    </row>
    <row r="78" spans="2:6" x14ac:dyDescent="0.2">
      <c r="B78" s="260">
        <v>39522</v>
      </c>
      <c r="C78" s="94">
        <f t="shared" si="3"/>
        <v>75</v>
      </c>
      <c r="D78" s="116">
        <v>16</v>
      </c>
      <c r="E78" s="125">
        <v>1</v>
      </c>
      <c r="F78" s="111">
        <f t="shared" si="4"/>
        <v>16.016666666666666</v>
      </c>
    </row>
    <row r="79" spans="2:6" x14ac:dyDescent="0.2">
      <c r="B79" s="260">
        <v>39523</v>
      </c>
      <c r="C79" s="94">
        <f t="shared" si="3"/>
        <v>76</v>
      </c>
      <c r="D79" s="116">
        <v>15</v>
      </c>
      <c r="E79" s="125">
        <v>54</v>
      </c>
      <c r="F79" s="111">
        <f t="shared" si="4"/>
        <v>15.9</v>
      </c>
    </row>
    <row r="80" spans="2:6" x14ac:dyDescent="0.2">
      <c r="B80" s="260">
        <v>39524</v>
      </c>
      <c r="C80" s="94">
        <f t="shared" si="3"/>
        <v>77</v>
      </c>
      <c r="D80" s="116">
        <v>15</v>
      </c>
      <c r="E80" s="125">
        <v>46</v>
      </c>
      <c r="F80" s="111">
        <f t="shared" si="4"/>
        <v>15.766666666666667</v>
      </c>
    </row>
    <row r="81" spans="2:21" x14ac:dyDescent="0.2">
      <c r="B81" s="260">
        <v>39525</v>
      </c>
      <c r="C81" s="94">
        <f t="shared" si="3"/>
        <v>78</v>
      </c>
      <c r="D81" s="116">
        <v>15</v>
      </c>
      <c r="E81" s="125">
        <v>38</v>
      </c>
      <c r="F81" s="111">
        <f t="shared" si="4"/>
        <v>15.633333333333333</v>
      </c>
    </row>
    <row r="82" spans="2:21" x14ac:dyDescent="0.2">
      <c r="B82" s="260">
        <v>39526</v>
      </c>
      <c r="C82" s="94">
        <f t="shared" si="3"/>
        <v>79</v>
      </c>
      <c r="D82" s="116">
        <v>15</v>
      </c>
      <c r="E82" s="125">
        <v>30</v>
      </c>
      <c r="F82" s="111">
        <f t="shared" si="4"/>
        <v>15.5</v>
      </c>
      <c r="U82" s="262"/>
    </row>
    <row r="83" spans="2:21" x14ac:dyDescent="0.2">
      <c r="B83" s="260">
        <v>39527</v>
      </c>
      <c r="C83" s="94">
        <f t="shared" si="3"/>
        <v>80</v>
      </c>
      <c r="D83" s="116">
        <v>15</v>
      </c>
      <c r="E83" s="125">
        <v>22</v>
      </c>
      <c r="F83" s="111">
        <f t="shared" si="4"/>
        <v>15.366666666666667</v>
      </c>
      <c r="U83" s="142"/>
    </row>
    <row r="84" spans="2:21" x14ac:dyDescent="0.2">
      <c r="B84" s="260">
        <v>39528</v>
      </c>
      <c r="C84" s="94">
        <f t="shared" si="3"/>
        <v>81</v>
      </c>
      <c r="D84" s="116">
        <v>15</v>
      </c>
      <c r="E84" s="125">
        <v>14</v>
      </c>
      <c r="F84" s="111">
        <f t="shared" si="4"/>
        <v>15.233333333333333</v>
      </c>
      <c r="U84" s="176"/>
    </row>
    <row r="85" spans="2:21" x14ac:dyDescent="0.2">
      <c r="B85" s="260">
        <v>39529</v>
      </c>
      <c r="C85" s="94">
        <f t="shared" si="3"/>
        <v>82</v>
      </c>
      <c r="D85" s="116">
        <v>15</v>
      </c>
      <c r="E85" s="125">
        <v>7</v>
      </c>
      <c r="F85" s="111">
        <f t="shared" si="4"/>
        <v>15.116666666666667</v>
      </c>
      <c r="U85" s="176"/>
    </row>
    <row r="86" spans="2:21" x14ac:dyDescent="0.2">
      <c r="B86" s="260">
        <v>39530</v>
      </c>
      <c r="C86" s="94">
        <f t="shared" si="3"/>
        <v>83</v>
      </c>
      <c r="D86" s="116">
        <v>15</v>
      </c>
      <c r="E86" s="125">
        <v>0</v>
      </c>
      <c r="F86" s="111">
        <f>D86+E86/60</f>
        <v>15</v>
      </c>
      <c r="U86" s="170"/>
    </row>
    <row r="87" spans="2:21" x14ac:dyDescent="0.2">
      <c r="B87" s="260">
        <v>39531</v>
      </c>
      <c r="C87" s="94">
        <f t="shared" si="3"/>
        <v>84</v>
      </c>
      <c r="D87" s="116">
        <v>14</v>
      </c>
      <c r="E87" s="125">
        <v>54</v>
      </c>
      <c r="F87" s="111">
        <f t="shared" ref="F87:F94" si="5">D87+E87/60</f>
        <v>14.9</v>
      </c>
      <c r="U87" s="296"/>
    </row>
    <row r="88" spans="2:21" x14ac:dyDescent="0.2">
      <c r="B88" s="260">
        <v>39532</v>
      </c>
      <c r="C88" s="94">
        <f t="shared" si="3"/>
        <v>85</v>
      </c>
      <c r="D88" s="116">
        <v>14</v>
      </c>
      <c r="E88" s="125">
        <v>49</v>
      </c>
      <c r="F88" s="111">
        <f t="shared" si="5"/>
        <v>14.816666666666666</v>
      </c>
      <c r="U88" s="142"/>
    </row>
    <row r="89" spans="2:21" x14ac:dyDescent="0.2">
      <c r="B89" s="260">
        <v>39533</v>
      </c>
      <c r="C89" s="94">
        <f t="shared" si="3"/>
        <v>86</v>
      </c>
      <c r="D89" s="116">
        <v>14</v>
      </c>
      <c r="E89" s="125">
        <v>46</v>
      </c>
      <c r="F89" s="111">
        <f t="shared" si="5"/>
        <v>14.766666666666667</v>
      </c>
      <c r="U89" s="142"/>
    </row>
    <row r="90" spans="2:21" x14ac:dyDescent="0.2">
      <c r="B90" s="260">
        <v>39534</v>
      </c>
      <c r="C90" s="94">
        <f t="shared" si="3"/>
        <v>87</v>
      </c>
      <c r="D90" s="116">
        <v>14</v>
      </c>
      <c r="E90" s="125">
        <v>45</v>
      </c>
      <c r="F90" s="111">
        <f t="shared" si="5"/>
        <v>14.75</v>
      </c>
      <c r="U90" s="142"/>
    </row>
    <row r="91" spans="2:21" x14ac:dyDescent="0.2">
      <c r="B91" s="260">
        <v>39535</v>
      </c>
      <c r="C91" s="94">
        <f t="shared" si="3"/>
        <v>88</v>
      </c>
      <c r="D91" s="116">
        <v>14</v>
      </c>
      <c r="E91" s="125">
        <v>47</v>
      </c>
      <c r="F91" s="111">
        <f t="shared" si="5"/>
        <v>14.783333333333333</v>
      </c>
      <c r="U91" s="142"/>
    </row>
    <row r="92" spans="2:21" x14ac:dyDescent="0.2">
      <c r="B92" s="260">
        <v>39536</v>
      </c>
      <c r="C92" s="94">
        <f t="shared" si="3"/>
        <v>89</v>
      </c>
      <c r="D92" s="116">
        <v>14</v>
      </c>
      <c r="E92" s="125">
        <v>51</v>
      </c>
      <c r="F92" s="111">
        <f t="shared" si="5"/>
        <v>14.85</v>
      </c>
      <c r="U92" s="262"/>
    </row>
    <row r="93" spans="2:21" x14ac:dyDescent="0.2">
      <c r="B93" s="260">
        <v>39537</v>
      </c>
      <c r="C93" s="94">
        <f t="shared" si="3"/>
        <v>90</v>
      </c>
      <c r="D93" s="116">
        <v>14</v>
      </c>
      <c r="E93" s="125">
        <v>58</v>
      </c>
      <c r="F93" s="111">
        <f t="shared" si="5"/>
        <v>14.966666666666667</v>
      </c>
      <c r="U93" s="142"/>
    </row>
    <row r="94" spans="2:21" ht="13.5" thickBot="1" x14ac:dyDescent="0.25">
      <c r="B94" s="261">
        <v>39538</v>
      </c>
      <c r="C94" s="113">
        <f t="shared" si="3"/>
        <v>91</v>
      </c>
      <c r="D94" s="257">
        <v>15</v>
      </c>
      <c r="E94" s="258">
        <v>8</v>
      </c>
      <c r="F94" s="337">
        <f t="shared" si="5"/>
        <v>15.133333333333333</v>
      </c>
      <c r="U94" s="176"/>
    </row>
    <row r="95" spans="2:21" x14ac:dyDescent="0.2">
      <c r="B95" s="127"/>
      <c r="U95" s="176"/>
    </row>
    <row r="96" spans="2:21" x14ac:dyDescent="0.2">
      <c r="B96" s="4"/>
      <c r="U96" s="170"/>
    </row>
    <row r="97" spans="2:21" x14ac:dyDescent="0.2">
      <c r="B97" s="4"/>
      <c r="U97" s="296"/>
    </row>
    <row r="98" spans="2:21" x14ac:dyDescent="0.2">
      <c r="U98" s="142"/>
    </row>
    <row r="99" spans="2:21" x14ac:dyDescent="0.2">
      <c r="U99" s="142"/>
    </row>
  </sheetData>
  <customSheetViews>
    <customSheetView guid="{09500FC5-7974-49D3-BF41-620D2193BB0B}" topLeftCell="A124">
      <selection activeCell="P114" sqref="P114"/>
      <pageMargins left="0.7" right="0.7" top="0.78740157499999996" bottom="0.78740157499999996" header="0.3" footer="0.3"/>
      <pageSetup paperSize="9" orientation="portrait" verticalDpi="0" r:id="rId1"/>
    </customSheetView>
  </customSheetViews>
  <mergeCells count="6">
    <mergeCell ref="M3:N3"/>
    <mergeCell ref="M9:N9"/>
    <mergeCell ref="D2:F2"/>
    <mergeCell ref="Q4:R4"/>
    <mergeCell ref="Q5:R5"/>
    <mergeCell ref="O3:P3"/>
  </mergeCells>
  <pageMargins left="0.7" right="0.7" top="0.78740157499999996" bottom="0.78740157499999996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Bahn, trop. Monat</vt:lpstr>
      <vt:lpstr>Synod. Monat</vt:lpstr>
      <vt:lpstr>Anom. u. sid. Monat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</dc:creator>
  <cp:lastModifiedBy>User</cp:lastModifiedBy>
  <cp:lastPrinted>2010-08-24T08:08:49Z</cp:lastPrinted>
  <dcterms:created xsi:type="dcterms:W3CDTF">2009-02-08T10:06:28Z</dcterms:created>
  <dcterms:modified xsi:type="dcterms:W3CDTF">2011-09-20T09:48:37Z</dcterms:modified>
</cp:coreProperties>
</file>