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nushelligkeit" sheetId="1" r:id="rId1"/>
    <sheet name="Venusbahn" sheetId="2" r:id="rId2"/>
    <sheet name="Lichtgestalten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<sst xmlns="http://schemas.openxmlformats.org/spreadsheetml/2006/main" count="84" uniqueCount="60">
  <si>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r>
      <t xml:space="preserve">Tab. 1 </t>
    </r>
    <r>
      <rPr>
        <b/>
        <sz val="12"/>
        <rFont val="Arial"/>
        <family val="2"/>
      </rPr>
      <t xml:space="preserve">     Venus von der Erde aus gesehen (2002)</t>
    </r>
  </si>
  <si>
    <t>14.01.02: Obere Konjunktion</t>
  </si>
  <si>
    <t>Datum</t>
  </si>
  <si>
    <t>Tages-</t>
  </si>
  <si>
    <t xml:space="preserve">Helligkeit </t>
  </si>
  <si>
    <r>
      <t xml:space="preserve">Entfernung </t>
    </r>
    <r>
      <rPr>
        <sz val="10"/>
        <rFont val="Symbol"/>
        <family val="1"/>
      </rPr>
      <t>D</t>
    </r>
  </si>
  <si>
    <t xml:space="preserve"> beleuchteter</t>
  </si>
  <si>
    <t>scheinbarer</t>
  </si>
  <si>
    <t>Phasen-</t>
  </si>
  <si>
    <t>Nr.</t>
  </si>
  <si>
    <r>
      <t xml:space="preserve">in </t>
    </r>
    <r>
      <rPr>
        <i/>
        <sz val="10"/>
        <rFont val="Arial"/>
        <family val="2"/>
      </rPr>
      <t>mag</t>
    </r>
  </si>
  <si>
    <r>
      <t>in W / 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*C</t>
    </r>
  </si>
  <si>
    <t>in AE</t>
  </si>
  <si>
    <r>
      <t>in 10</t>
    </r>
    <r>
      <rPr>
        <vertAlign val="superscript"/>
        <sz val="10"/>
        <rFont val="Arial"/>
        <family val="2"/>
      </rPr>
      <t>6</t>
    </r>
    <r>
      <rPr>
        <sz val="11"/>
        <color indexed="8"/>
        <rFont val="Times New Roman"/>
        <family val="2"/>
      </rPr>
      <t xml:space="preserve"> km</t>
    </r>
  </si>
  <si>
    <r>
      <t xml:space="preserve"> Teil </t>
    </r>
    <r>
      <rPr>
        <i/>
        <sz val="9"/>
        <rFont val="Arial"/>
        <family val="2"/>
      </rPr>
      <t>k</t>
    </r>
    <r>
      <rPr>
        <sz val="9"/>
        <rFont val="Arial"/>
        <family val="2"/>
      </rPr>
      <t xml:space="preserve"> (%)</t>
    </r>
  </si>
  <si>
    <t>Durchmesser ('')</t>
  </si>
  <si>
    <r>
      <t>winkel</t>
    </r>
    <r>
      <rPr>
        <sz val="10"/>
        <rFont val="Symbol"/>
        <family val="1"/>
      </rPr>
      <t xml:space="preserve"> </t>
    </r>
    <r>
      <rPr>
        <i/>
        <sz val="10"/>
        <rFont val="Symbol"/>
        <family val="1"/>
      </rPr>
      <t>f</t>
    </r>
    <r>
      <rPr>
        <sz val="10"/>
        <rFont val="Symbol"/>
        <family val="1"/>
      </rPr>
      <t xml:space="preserve"> (°)</t>
    </r>
  </si>
  <si>
    <t>untere Konjunktion</t>
  </si>
  <si>
    <r>
      <t xml:space="preserve">Tab. 2 </t>
    </r>
    <r>
      <rPr>
        <b/>
        <sz val="12"/>
        <rFont val="Arial"/>
        <family val="2"/>
      </rPr>
      <t xml:space="preserve">    Koordinaten von Erde und Venus 2002</t>
    </r>
  </si>
  <si>
    <r>
      <t>l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Sonne</t>
    </r>
  </si>
  <si>
    <r>
      <t>l</t>
    </r>
    <r>
      <rPr>
        <vertAlign val="subscript"/>
        <sz val="12"/>
        <rFont val="Times New Roman"/>
        <family val="1"/>
      </rPr>
      <t>Erde</t>
    </r>
    <r>
      <rPr>
        <i/>
        <sz val="12"/>
        <rFont val="Times New Roman"/>
        <family val="1"/>
      </rPr>
      <t xml:space="preserve"> </t>
    </r>
  </si>
  <si>
    <r>
      <t>x</t>
    </r>
    <r>
      <rPr>
        <vertAlign val="subscript"/>
        <sz val="12"/>
        <rFont val="Times New Roman"/>
        <family val="1"/>
      </rPr>
      <t>Erde</t>
    </r>
  </si>
  <si>
    <r>
      <t>y</t>
    </r>
    <r>
      <rPr>
        <vertAlign val="subscript"/>
        <sz val="12"/>
        <rFont val="Times New Roman"/>
        <family val="1"/>
      </rPr>
      <t>Erde</t>
    </r>
  </si>
  <si>
    <r>
      <t>l</t>
    </r>
    <r>
      <rPr>
        <vertAlign val="subscript"/>
        <sz val="12"/>
        <rFont val="Times New Roman"/>
        <family val="1"/>
      </rPr>
      <t>Venus</t>
    </r>
    <r>
      <rPr>
        <sz val="12"/>
        <rFont val="Times New Roman"/>
        <family val="1"/>
      </rPr>
      <t xml:space="preserve"> </t>
    </r>
  </si>
  <si>
    <r>
      <t>l</t>
    </r>
    <r>
      <rPr>
        <i/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  <r>
      <rPr>
        <sz val="12"/>
        <rFont val="Times New Roman"/>
        <family val="1"/>
      </rPr>
      <t xml:space="preserve"> </t>
    </r>
  </si>
  <si>
    <r>
      <t>x</t>
    </r>
    <r>
      <rPr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</si>
  <si>
    <r>
      <t>y</t>
    </r>
    <r>
      <rPr>
        <vertAlign val="superscript"/>
        <sz val="12"/>
        <rFont val="Times New Roman"/>
        <family val="1"/>
      </rPr>
      <t>*</t>
    </r>
    <r>
      <rPr>
        <vertAlign val="subscript"/>
        <sz val="12"/>
        <rFont val="Times New Roman"/>
        <family val="1"/>
      </rPr>
      <t>Venus</t>
    </r>
  </si>
  <si>
    <t>Nummer</t>
  </si>
  <si>
    <t>(°)</t>
  </si>
  <si>
    <t>(AE)</t>
  </si>
  <si>
    <t>wird</t>
  </si>
  <si>
    <t>konstant</t>
  </si>
  <si>
    <t>gehalten</t>
  </si>
  <si>
    <t>max.</t>
  </si>
  <si>
    <t>Helligkeit</t>
  </si>
  <si>
    <t xml:space="preserve"> </t>
  </si>
  <si>
    <t>Das Dreieck:</t>
  </si>
  <si>
    <r>
      <t>Tab. 3</t>
    </r>
    <r>
      <rPr>
        <b/>
        <sz val="12"/>
        <rFont val="Arial"/>
        <family val="2"/>
      </rPr>
      <t xml:space="preserve">         Die Lichtgestalten der Venus</t>
    </r>
  </si>
  <si>
    <t>Kl. Halbachse</t>
  </si>
  <si>
    <t>Scheinbarer</t>
  </si>
  <si>
    <t>Große Halbachse</t>
  </si>
  <si>
    <r>
      <t>b = a</t>
    </r>
    <r>
      <rPr>
        <sz val="9"/>
        <rFont val="Arial"/>
        <family val="2"/>
      </rPr>
      <t>*cos</t>
    </r>
    <r>
      <rPr>
        <sz val="9"/>
        <rFont val="Symbol"/>
        <family val="1"/>
      </rPr>
      <t>f</t>
    </r>
  </si>
  <si>
    <r>
      <t>Durchm.</t>
    </r>
    <r>
      <rPr>
        <i/>
        <sz val="9"/>
        <rFont val="Arial"/>
        <family val="2"/>
      </rPr>
      <t xml:space="preserve">D </t>
    </r>
    <r>
      <rPr>
        <sz val="9"/>
        <rFont val="Arial"/>
        <family val="2"/>
      </rPr>
      <t>('')</t>
    </r>
  </si>
  <si>
    <r>
      <t>a</t>
    </r>
    <r>
      <rPr>
        <sz val="9"/>
        <rFont val="Arial"/>
        <family val="2"/>
      </rPr>
      <t xml:space="preserve">  (willk. Einh.)</t>
    </r>
  </si>
  <si>
    <t>f (°)</t>
  </si>
  <si>
    <t xml:space="preserve"> (willk. Einh.)</t>
  </si>
  <si>
    <t>Formel für die Halbkreise:</t>
  </si>
  <si>
    <r>
      <t>y = Wurzel(</t>
    </r>
    <r>
      <rPr>
        <i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Times New Roman"/>
        <family val="2"/>
      </rPr>
      <t xml:space="preserve"> -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Times New Roman"/>
        <family val="2"/>
      </rPr>
      <t>)</t>
    </r>
  </si>
  <si>
    <t>Formel für die Ellipsenbögen:</t>
  </si>
  <si>
    <r>
      <t xml:space="preserve">y = </t>
    </r>
    <r>
      <rPr>
        <i/>
        <sz val="10"/>
        <rFont val="Arial"/>
        <family val="2"/>
      </rPr>
      <t>b</t>
    </r>
    <r>
      <rPr>
        <sz val="11"/>
        <color indexed="8"/>
        <rFont val="Times New Roman"/>
        <family val="2"/>
      </rPr>
      <t xml:space="preserve">* Wurzel(1 - 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1"/>
        <color indexed="8"/>
        <rFont val="Times New Roman"/>
        <family val="2"/>
      </rPr>
      <t>)</t>
    </r>
  </si>
  <si>
    <r>
      <t xml:space="preserve">Scheinb. Durchmesser </t>
    </r>
    <r>
      <rPr>
        <i/>
        <sz val="9"/>
        <rFont val="Arial"/>
        <family val="2"/>
      </rPr>
      <t xml:space="preserve">D </t>
    </r>
    <r>
      <rPr>
        <sz val="9"/>
        <rFont val="Arial"/>
        <family val="2"/>
      </rPr>
      <t xml:space="preserve">('') </t>
    </r>
  </si>
  <si>
    <t>23.9.</t>
  </si>
  <si>
    <t>3.10.</t>
  </si>
  <si>
    <t>28.9.</t>
  </si>
  <si>
    <t>(Interpol.)</t>
  </si>
  <si>
    <t>Halbkreis</t>
  </si>
  <si>
    <t>Ellipsenbogen</t>
  </si>
  <si>
    <t>Kreis</t>
  </si>
  <si>
    <t>x</t>
  </si>
  <si>
    <t>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</si>
</sst>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@"/>
    <numFmt numFmtId="167" formatCode="D/M/YY"/>
    <numFmt numFmtId="168" formatCode="0.0"/>
    <numFmt numFmtId="169" formatCode="0.000"/>
    <numFmt numFmtId="170" formatCode="0.00"/>
    <numFmt numFmtId="171" formatCode="0"/>
    <numFmt numFmtId="172" formatCode="DD/MM/YY"/>
    <numFmt numFmtId="173" formatCode="DD/MM/YYYY"/>
  </numFmts>
  <fonts count="40">
    <font>
      <sz val="10"/>
      <name val="Arial"/>
      <family val="2"/>
    </font>
    <font>
      <sz val="11"/>
      <color indexed="8"/>
      <name val="Times New Roman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2"/>
    </font>
    <font>
      <sz val="9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i/>
      <sz val="10"/>
      <name val="Symbol"/>
      <family val="1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35"/>
      <color indexed="8"/>
      <name val="Arial"/>
      <family val="2"/>
    </font>
    <font>
      <b/>
      <sz val="11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name val="Symbol"/>
      <family val="1"/>
    </font>
    <font>
      <sz val="10"/>
      <name val="Times New Roman"/>
      <family val="1"/>
    </font>
    <font>
      <sz val="8.7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Symbol"/>
      <family val="0"/>
    </font>
    <font>
      <sz val="8"/>
      <color indexed="8"/>
      <name val="Times New Roman"/>
      <family val="1"/>
    </font>
    <font>
      <sz val="9"/>
      <name val="Symbol"/>
      <family val="1"/>
    </font>
    <font>
      <sz val="9"/>
      <color indexed="8"/>
      <name val="Times New Roman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1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Border="1" applyAlignment="1">
      <alignment/>
      <protection/>
    </xf>
    <xf numFmtId="164" fontId="1" fillId="0" borderId="0" xfId="20" applyAlignment="1">
      <alignment/>
      <protection/>
    </xf>
    <xf numFmtId="164" fontId="4" fillId="0" borderId="0" xfId="20" applyFont="1" applyFill="1" applyAlignment="1">
      <alignment horizontal="center"/>
      <protection/>
    </xf>
    <xf numFmtId="164" fontId="5" fillId="2" borderId="1" xfId="20" applyFont="1" applyFill="1" applyBorder="1" applyAlignment="1">
      <alignment/>
      <protection/>
    </xf>
    <xf numFmtId="164" fontId="1" fillId="0" borderId="0" xfId="20" applyFill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4" xfId="20" applyFont="1" applyBorder="1" applyAlignment="1">
      <alignment horizontal="center"/>
      <protection/>
    </xf>
    <xf numFmtId="164" fontId="5" fillId="0" borderId="4" xfId="20" applyFont="1" applyBorder="1" applyAlignment="1">
      <alignment horizontal="center"/>
      <protection/>
    </xf>
    <xf numFmtId="164" fontId="5" fillId="0" borderId="3" xfId="20" applyFont="1" applyBorder="1" applyAlignment="1">
      <alignment horizontal="center"/>
      <protection/>
    </xf>
    <xf numFmtId="164" fontId="1" fillId="0" borderId="5" xfId="20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5" fillId="0" borderId="6" xfId="20" applyFont="1" applyBorder="1" applyAlignment="1">
      <alignment horizontal="center"/>
      <protection/>
    </xf>
    <xf numFmtId="164" fontId="1" fillId="0" borderId="6" xfId="20" applyFont="1" applyBorder="1" applyAlignment="1">
      <alignment horizontal="center"/>
      <protection/>
    </xf>
    <xf numFmtId="164" fontId="5" fillId="0" borderId="7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0" fillId="0" borderId="7" xfId="20" applyFont="1" applyBorder="1" applyAlignment="1">
      <alignment horizontal="center"/>
      <protection/>
    </xf>
    <xf numFmtId="164" fontId="7" fillId="0" borderId="8" xfId="20" applyNumberFormat="1" applyFont="1" applyBorder="1" applyAlignment="1">
      <alignment horizontal="center"/>
      <protection/>
    </xf>
    <xf numFmtId="167" fontId="1" fillId="0" borderId="2" xfId="20" applyNumberFormat="1" applyBorder="1" applyAlignment="1">
      <alignment horizontal="center"/>
      <protection/>
    </xf>
    <xf numFmtId="164" fontId="1" fillId="0" borderId="9" xfId="20" applyNumberFormat="1" applyBorder="1" applyAlignment="1">
      <alignment horizontal="center"/>
      <protection/>
    </xf>
    <xf numFmtId="168" fontId="1" fillId="0" borderId="2" xfId="20" applyNumberFormat="1" applyBorder="1" applyAlignment="1">
      <alignment horizontal="center"/>
      <protection/>
    </xf>
    <xf numFmtId="168" fontId="1" fillId="0" borderId="9" xfId="20" applyNumberFormat="1" applyBorder="1" applyAlignment="1">
      <alignment horizontal="center"/>
      <protection/>
    </xf>
    <xf numFmtId="169" fontId="1" fillId="0" borderId="2" xfId="20" applyNumberFormat="1" applyBorder="1" applyAlignment="1">
      <alignment horizontal="center"/>
      <protection/>
    </xf>
    <xf numFmtId="169" fontId="1" fillId="0" borderId="9" xfId="20" applyNumberFormat="1" applyBorder="1" applyAlignment="1">
      <alignment horizontal="center"/>
      <protection/>
    </xf>
    <xf numFmtId="164" fontId="1" fillId="0" borderId="4" xfId="20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7" fontId="1" fillId="0" borderId="10" xfId="20" applyNumberFormat="1" applyBorder="1" applyAlignment="1">
      <alignment horizontal="center"/>
      <protection/>
    </xf>
    <xf numFmtId="164" fontId="1" fillId="0" borderId="11" xfId="20" applyNumberFormat="1" applyBorder="1" applyAlignment="1">
      <alignment horizontal="center"/>
      <protection/>
    </xf>
    <xf numFmtId="168" fontId="1" fillId="0" borderId="10" xfId="20" applyNumberFormat="1" applyBorder="1" applyAlignment="1">
      <alignment horizontal="center"/>
      <protection/>
    </xf>
    <xf numFmtId="168" fontId="1" fillId="0" borderId="11" xfId="20" applyNumberFormat="1" applyBorder="1" applyAlignment="1">
      <alignment horizontal="center"/>
      <protection/>
    </xf>
    <xf numFmtId="169" fontId="1" fillId="0" borderId="10" xfId="20" applyNumberFormat="1" applyBorder="1" applyAlignment="1">
      <alignment horizontal="center"/>
      <protection/>
    </xf>
    <xf numFmtId="169" fontId="1" fillId="0" borderId="11" xfId="20" applyNumberFormat="1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8" fontId="1" fillId="0" borderId="0" xfId="20" applyNumberFormat="1" applyBorder="1" applyAlignment="1">
      <alignment horizontal="center"/>
      <protection/>
    </xf>
    <xf numFmtId="168" fontId="1" fillId="3" borderId="10" xfId="20" applyNumberFormat="1" applyFill="1" applyBorder="1" applyAlignment="1">
      <alignment horizontal="center"/>
      <protection/>
    </xf>
    <xf numFmtId="164" fontId="1" fillId="3" borderId="12" xfId="20" applyFill="1" applyBorder="1" applyAlignment="1">
      <alignment horizontal="center"/>
      <protection/>
    </xf>
    <xf numFmtId="167" fontId="1" fillId="0" borderId="10" xfId="20" applyNumberFormat="1" applyFill="1" applyBorder="1" applyAlignment="1">
      <alignment horizontal="center"/>
      <protection/>
    </xf>
    <xf numFmtId="164" fontId="1" fillId="0" borderId="11" xfId="20" applyNumberFormat="1" applyFill="1" applyBorder="1" applyAlignment="1">
      <alignment horizontal="center"/>
      <protection/>
    </xf>
    <xf numFmtId="168" fontId="1" fillId="0" borderId="10" xfId="20" applyNumberFormat="1" applyFill="1" applyBorder="1" applyAlignment="1">
      <alignment horizontal="center"/>
      <protection/>
    </xf>
    <xf numFmtId="168" fontId="1" fillId="0" borderId="11" xfId="20" applyNumberFormat="1" applyFill="1" applyBorder="1" applyAlignment="1">
      <alignment horizontal="center"/>
      <protection/>
    </xf>
    <xf numFmtId="169" fontId="1" fillId="0" borderId="10" xfId="20" applyNumberFormat="1" applyFill="1" applyBorder="1" applyAlignment="1">
      <alignment horizontal="center"/>
      <protection/>
    </xf>
    <xf numFmtId="169" fontId="1" fillId="0" borderId="11" xfId="20" applyNumberFormat="1" applyFill="1" applyBorder="1" applyAlignment="1">
      <alignment horizontal="center"/>
      <protection/>
    </xf>
    <xf numFmtId="164" fontId="1" fillId="0" borderId="12" xfId="20" applyFill="1" applyBorder="1" applyAlignment="1">
      <alignment horizontal="center"/>
      <protection/>
    </xf>
    <xf numFmtId="167" fontId="1" fillId="2" borderId="5" xfId="20" applyNumberFormat="1" applyFill="1" applyBorder="1" applyAlignment="1">
      <alignment horizontal="center"/>
      <protection/>
    </xf>
    <xf numFmtId="164" fontId="1" fillId="2" borderId="1" xfId="20" applyNumberFormat="1" applyFill="1" applyBorder="1" applyAlignment="1">
      <alignment horizontal="center"/>
      <protection/>
    </xf>
    <xf numFmtId="168" fontId="1" fillId="2" borderId="6" xfId="20" applyNumberFormat="1" applyFont="1" applyFill="1" applyBorder="1" applyAlignment="1">
      <alignment horizontal="left"/>
      <protection/>
    </xf>
    <xf numFmtId="169" fontId="1" fillId="2" borderId="5" xfId="20" applyNumberFormat="1" applyFill="1" applyBorder="1" applyAlignment="1">
      <alignment horizontal="center"/>
      <protection/>
    </xf>
    <xf numFmtId="169" fontId="1" fillId="2" borderId="13" xfId="20" applyNumberFormat="1" applyFill="1" applyBorder="1" applyAlignment="1">
      <alignment horizontal="center"/>
      <protection/>
    </xf>
    <xf numFmtId="164" fontId="1" fillId="2" borderId="7" xfId="20" applyNumberFormat="1" applyFill="1" applyBorder="1" applyAlignment="1">
      <alignment horizontal="center"/>
      <protection/>
    </xf>
    <xf numFmtId="170" fontId="1" fillId="2" borderId="7" xfId="20" applyNumberFormat="1" applyFill="1" applyBorder="1" applyAlignment="1">
      <alignment horizontal="center"/>
      <protection/>
    </xf>
    <xf numFmtId="164" fontId="1" fillId="2" borderId="7" xfId="20" applyFill="1" applyBorder="1" applyAlignment="1">
      <alignment horizontal="center"/>
      <protection/>
    </xf>
    <xf numFmtId="164" fontId="1" fillId="3" borderId="0" xfId="20" applyFill="1" applyBorder="1" applyAlignment="1">
      <alignment horizontal="center"/>
      <protection/>
    </xf>
    <xf numFmtId="164" fontId="5" fillId="3" borderId="0" xfId="20" applyFont="1" applyFill="1" applyBorder="1" applyAlignment="1">
      <alignment horizontal="right"/>
      <protection/>
    </xf>
    <xf numFmtId="168" fontId="1" fillId="0" borderId="0" xfId="20" applyNumberForma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0" xfId="20" applyFill="1" applyBorder="1" applyAlignment="1">
      <alignment horizontal="center"/>
      <protection/>
    </xf>
    <xf numFmtId="167" fontId="1" fillId="0" borderId="0" xfId="20" applyNumberFormat="1" applyFill="1" applyBorder="1" applyAlignment="1">
      <alignment horizontal="center"/>
      <protection/>
    </xf>
    <xf numFmtId="164" fontId="1" fillId="0" borderId="0" xfId="20" applyNumberFormat="1" applyFill="1" applyBorder="1" applyAlignment="1">
      <alignment horizontal="center"/>
      <protection/>
    </xf>
    <xf numFmtId="168" fontId="1" fillId="0" borderId="0" xfId="20" applyNumberFormat="1" applyFill="1" applyBorder="1" applyAlignment="1">
      <alignment horizontal="center"/>
      <protection/>
    </xf>
    <xf numFmtId="170" fontId="1" fillId="0" borderId="0" xfId="20" applyNumberFormat="1" applyFill="1" applyBorder="1" applyAlignment="1">
      <alignment horizontal="center"/>
      <protection/>
    </xf>
    <xf numFmtId="170" fontId="1" fillId="0" borderId="0" xfId="20" applyNumberFormat="1" applyBorder="1" applyAlignment="1">
      <alignment horizontal="center"/>
      <protection/>
    </xf>
    <xf numFmtId="170" fontId="1" fillId="3" borderId="0" xfId="20" applyNumberFormat="1" applyFill="1" applyBorder="1" applyAlignment="1">
      <alignment horizontal="center"/>
      <protection/>
    </xf>
    <xf numFmtId="169" fontId="1" fillId="0" borderId="0" xfId="20" applyNumberFormat="1" applyFill="1" applyBorder="1" applyAlignment="1">
      <alignment horizontal="center"/>
      <protection/>
    </xf>
    <xf numFmtId="170" fontId="1" fillId="0" borderId="0" xfId="20" applyNumberFormat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17" fillId="0" borderId="0" xfId="20" applyFont="1" applyFill="1" applyBorder="1" applyAlignment="1">
      <alignment horizontal="center"/>
      <protection/>
    </xf>
    <xf numFmtId="164" fontId="1" fillId="0" borderId="0" xfId="20" applyFill="1" applyBorder="1">
      <alignment/>
      <protection/>
    </xf>
    <xf numFmtId="164" fontId="0" fillId="0" borderId="2" xfId="20" applyFont="1" applyBorder="1" applyAlignment="1">
      <alignment horizontal="center"/>
      <protection/>
    </xf>
    <xf numFmtId="164" fontId="0" fillId="0" borderId="9" xfId="20" applyFont="1" applyBorder="1" applyAlignment="1">
      <alignment horizontal="center"/>
      <protection/>
    </xf>
    <xf numFmtId="164" fontId="18" fillId="0" borderId="2" xfId="20" applyFont="1" applyBorder="1" applyAlignment="1">
      <alignment horizontal="center"/>
      <protection/>
    </xf>
    <xf numFmtId="164" fontId="21" fillId="0" borderId="9" xfId="20" applyFont="1" applyBorder="1" applyAlignment="1">
      <alignment horizontal="center"/>
      <protection/>
    </xf>
    <xf numFmtId="164" fontId="21" fillId="0" borderId="2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24" fillId="0" borderId="5" xfId="20" applyFont="1" applyBorder="1" applyAlignment="1">
      <alignment horizontal="center"/>
      <protection/>
    </xf>
    <xf numFmtId="164" fontId="24" fillId="0" borderId="6" xfId="20" applyFont="1" applyBorder="1" applyAlignment="1">
      <alignment horizontal="center"/>
      <protection/>
    </xf>
    <xf numFmtId="164" fontId="1" fillId="0" borderId="0" xfId="20" applyNumberFormat="1" applyBorder="1" applyAlignment="1">
      <alignment horizontal="center"/>
      <protection/>
    </xf>
    <xf numFmtId="170" fontId="1" fillId="0" borderId="2" xfId="20" applyNumberFormat="1" applyBorder="1" applyAlignment="1">
      <alignment horizontal="center"/>
      <protection/>
    </xf>
    <xf numFmtId="170" fontId="1" fillId="0" borderId="3" xfId="20" applyNumberFormat="1" applyBorder="1" applyAlignment="1">
      <alignment horizontal="center"/>
      <protection/>
    </xf>
    <xf numFmtId="170" fontId="1" fillId="0" borderId="9" xfId="20" applyNumberFormat="1" applyBorder="1" applyAlignment="1">
      <alignment horizontal="center"/>
      <protection/>
    </xf>
    <xf numFmtId="170" fontId="1" fillId="0" borderId="10" xfId="20" applyNumberFormat="1" applyBorder="1" applyAlignment="1">
      <alignment horizontal="center"/>
      <protection/>
    </xf>
    <xf numFmtId="170" fontId="1" fillId="0" borderId="8" xfId="20" applyNumberFormat="1" applyBorder="1" applyAlignment="1">
      <alignment horizontal="center"/>
      <protection/>
    </xf>
    <xf numFmtId="170" fontId="1" fillId="0" borderId="11" xfId="20" applyNumberFormat="1" applyBorder="1" applyAlignment="1">
      <alignment horizontal="center"/>
      <protection/>
    </xf>
    <xf numFmtId="170" fontId="1" fillId="0" borderId="12" xfId="20" applyNumberFormat="1" applyFont="1" applyBorder="1" applyAlignment="1">
      <alignment horizontal="center"/>
      <protection/>
    </xf>
    <xf numFmtId="164" fontId="25" fillId="0" borderId="0" xfId="20" applyFont="1" applyFill="1" applyBorder="1" applyAlignment="1">
      <alignment horizontal="center"/>
      <protection/>
    </xf>
    <xf numFmtId="170" fontId="1" fillId="0" borderId="8" xfId="20" applyNumberFormat="1" applyFill="1" applyBorder="1" applyAlignment="1">
      <alignment horizontal="center"/>
      <protection/>
    </xf>
    <xf numFmtId="170" fontId="1" fillId="0" borderId="11" xfId="20" applyNumberFormat="1" applyFill="1" applyBorder="1" applyAlignment="1">
      <alignment horizontal="center"/>
      <protection/>
    </xf>
    <xf numFmtId="167" fontId="1" fillId="4" borderId="10" xfId="20" applyNumberFormat="1" applyFill="1" applyBorder="1" applyAlignment="1">
      <alignment horizontal="center"/>
      <protection/>
    </xf>
    <xf numFmtId="164" fontId="1" fillId="4" borderId="0" xfId="20" applyNumberFormat="1" applyFill="1" applyBorder="1" applyAlignment="1">
      <alignment horizontal="center"/>
      <protection/>
    </xf>
    <xf numFmtId="170" fontId="1" fillId="4" borderId="10" xfId="20" applyNumberFormat="1" applyFill="1" applyBorder="1" applyAlignment="1">
      <alignment horizontal="center"/>
      <protection/>
    </xf>
    <xf numFmtId="170" fontId="1" fillId="4" borderId="0" xfId="20" applyNumberFormat="1" applyFill="1" applyBorder="1" applyAlignment="1">
      <alignment horizontal="center"/>
      <protection/>
    </xf>
    <xf numFmtId="170" fontId="1" fillId="4" borderId="8" xfId="20" applyNumberFormat="1" applyFill="1" applyBorder="1" applyAlignment="1">
      <alignment horizontal="center"/>
      <protection/>
    </xf>
    <xf numFmtId="170" fontId="1" fillId="4" borderId="11" xfId="20" applyNumberFormat="1" applyFill="1" applyBorder="1" applyAlignment="1">
      <alignment horizontal="center"/>
      <protection/>
    </xf>
    <xf numFmtId="170" fontId="1" fillId="4" borderId="10" xfId="20" applyNumberFormat="1" applyFill="1" applyBorder="1">
      <alignment/>
      <protection/>
    </xf>
    <xf numFmtId="169" fontId="1" fillId="4" borderId="10" xfId="20" applyNumberFormat="1" applyFill="1" applyBorder="1" applyAlignment="1">
      <alignment horizontal="center"/>
      <protection/>
    </xf>
    <xf numFmtId="164" fontId="1" fillId="4" borderId="0" xfId="20" applyFont="1" applyFill="1" applyBorder="1" applyAlignment="1">
      <alignment horizontal="right"/>
      <protection/>
    </xf>
    <xf numFmtId="164" fontId="1" fillId="4" borderId="0" xfId="20" applyFont="1" applyFill="1" applyBorder="1">
      <alignment/>
      <protection/>
    </xf>
    <xf numFmtId="167" fontId="1" fillId="0" borderId="5" xfId="20" applyNumberFormat="1" applyBorder="1" applyAlignment="1">
      <alignment horizontal="center"/>
      <protection/>
    </xf>
    <xf numFmtId="164" fontId="1" fillId="0" borderId="14" xfId="20" applyNumberFormat="1" applyBorder="1" applyAlignment="1">
      <alignment horizontal="center"/>
      <protection/>
    </xf>
    <xf numFmtId="170" fontId="1" fillId="0" borderId="5" xfId="20" applyNumberFormat="1" applyBorder="1" applyAlignment="1">
      <alignment horizontal="center"/>
      <protection/>
    </xf>
    <xf numFmtId="170" fontId="1" fillId="0" borderId="1" xfId="20" applyNumberFormat="1" applyBorder="1" applyAlignment="1">
      <alignment horizontal="center"/>
      <protection/>
    </xf>
    <xf numFmtId="170" fontId="1" fillId="0" borderId="15" xfId="20" applyNumberFormat="1" applyBorder="1" applyAlignment="1">
      <alignment horizontal="center"/>
      <protection/>
    </xf>
    <xf numFmtId="170" fontId="1" fillId="0" borderId="6" xfId="20" applyNumberFormat="1" applyBorder="1" applyAlignment="1">
      <alignment horizontal="center"/>
      <protection/>
    </xf>
    <xf numFmtId="170" fontId="1" fillId="0" borderId="13" xfId="20" applyNumberFormat="1" applyBorder="1" applyAlignment="1">
      <alignment horizontal="center"/>
      <protection/>
    </xf>
    <xf numFmtId="169" fontId="1" fillId="0" borderId="5" xfId="20" applyNumberFormat="1" applyBorder="1" applyAlignment="1">
      <alignment horizontal="center"/>
      <protection/>
    </xf>
    <xf numFmtId="164" fontId="1" fillId="3" borderId="0" xfId="20" applyFill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0" fillId="0" borderId="0" xfId="20" applyNumberFormat="1" applyFont="1" applyBorder="1" applyAlignment="1">
      <alignment horizontal="center"/>
      <protection/>
    </xf>
    <xf numFmtId="167" fontId="1" fillId="0" borderId="0" xfId="20" applyNumberFormat="1" applyBorder="1" applyAlignment="1">
      <alignment horizontal="center"/>
      <protection/>
    </xf>
    <xf numFmtId="164" fontId="6" fillId="0" borderId="0" xfId="20" applyFont="1" applyBorder="1" applyAlignment="1">
      <alignment horizontal="right" vertical="center"/>
      <protection/>
    </xf>
    <xf numFmtId="169" fontId="1" fillId="0" borderId="0" xfId="20" applyNumberFormat="1" applyBorder="1" applyAlignment="1">
      <alignment horizontal="center" vertical="center"/>
      <protection/>
    </xf>
    <xf numFmtId="170" fontId="1" fillId="0" borderId="0" xfId="20" applyNumberFormat="1" applyBorder="1" applyAlignment="1">
      <alignment horizontal="left" vertical="center"/>
      <protection/>
    </xf>
    <xf numFmtId="169" fontId="1" fillId="0" borderId="0" xfId="20" applyNumberFormat="1" applyBorder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169" fontId="1" fillId="0" borderId="0" xfId="20" applyNumberFormat="1" applyAlignment="1">
      <alignment horizontal="center"/>
      <protection/>
    </xf>
    <xf numFmtId="169" fontId="1" fillId="0" borderId="16" xfId="20" applyNumberFormat="1" applyBorder="1" applyAlignment="1">
      <alignment horizontal="center"/>
      <protection/>
    </xf>
    <xf numFmtId="170" fontId="1" fillId="0" borderId="17" xfId="20" applyNumberFormat="1" applyBorder="1" applyAlignment="1">
      <alignment horizontal="center"/>
      <protection/>
    </xf>
    <xf numFmtId="170" fontId="1" fillId="0" borderId="18" xfId="20" applyNumberFormat="1" applyFont="1" applyBorder="1" applyAlignment="1">
      <alignment horizontal="center"/>
      <protection/>
    </xf>
    <xf numFmtId="170" fontId="1" fillId="0" borderId="19" xfId="20" applyNumberFormat="1" applyBorder="1" applyAlignment="1">
      <alignment horizontal="center"/>
      <protection/>
    </xf>
    <xf numFmtId="169" fontId="1" fillId="0" borderId="20" xfId="20" applyNumberFormat="1" applyBorder="1" applyAlignment="1">
      <alignment horizontal="center"/>
      <protection/>
    </xf>
    <xf numFmtId="164" fontId="1" fillId="0" borderId="21" xfId="20" applyBorder="1" applyAlignment="1">
      <alignment horizontal="center"/>
      <protection/>
    </xf>
    <xf numFmtId="170" fontId="1" fillId="0" borderId="22" xfId="20" applyNumberFormat="1" applyBorder="1" applyAlignment="1">
      <alignment horizontal="center"/>
      <protection/>
    </xf>
    <xf numFmtId="169" fontId="1" fillId="0" borderId="0" xfId="20" applyNumberFormat="1">
      <alignment/>
      <protection/>
    </xf>
    <xf numFmtId="164" fontId="26" fillId="0" borderId="0" xfId="20" applyFont="1" applyAlignment="1">
      <alignment horizontal="center"/>
      <protection/>
    </xf>
    <xf numFmtId="164" fontId="27" fillId="0" borderId="0" xfId="20" applyFont="1" applyAlignment="1">
      <alignment horizontal="center"/>
      <protection/>
    </xf>
    <xf numFmtId="164" fontId="26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28" fillId="0" borderId="0" xfId="20" applyFont="1" applyBorder="1" applyAlignment="1">
      <alignment horizontal="center"/>
      <protection/>
    </xf>
    <xf numFmtId="164" fontId="24" fillId="0" borderId="0" xfId="20" applyFont="1" applyAlignment="1">
      <alignment horizontal="center"/>
      <protection/>
    </xf>
    <xf numFmtId="164" fontId="2" fillId="0" borderId="0" xfId="20" applyFont="1" applyBorder="1" applyAlignment="1">
      <alignment/>
      <protection/>
    </xf>
    <xf numFmtId="164" fontId="2" fillId="0" borderId="8" xfId="20" applyFont="1" applyBorder="1" applyAlignment="1">
      <alignment/>
      <protection/>
    </xf>
    <xf numFmtId="164" fontId="3" fillId="0" borderId="0" xfId="20" applyFont="1" applyBorder="1" applyAlignment="1">
      <alignment/>
      <protection/>
    </xf>
    <xf numFmtId="164" fontId="1" fillId="0" borderId="0" xfId="20" applyBorder="1" applyAlignment="1">
      <alignment/>
      <protection/>
    </xf>
    <xf numFmtId="164" fontId="33" fillId="0" borderId="4" xfId="20" applyFont="1" applyBorder="1" applyAlignment="1">
      <alignment/>
      <protection/>
    </xf>
    <xf numFmtId="164" fontId="1" fillId="0" borderId="23" xfId="20" applyBorder="1">
      <alignment/>
      <protection/>
    </xf>
    <xf numFmtId="164" fontId="5" fillId="0" borderId="24" xfId="20" applyFont="1" applyBorder="1">
      <alignment/>
      <protection/>
    </xf>
    <xf numFmtId="164" fontId="25" fillId="0" borderId="3" xfId="20" applyFont="1" applyBorder="1">
      <alignment/>
      <protection/>
    </xf>
    <xf numFmtId="164" fontId="1" fillId="0" borderId="25" xfId="20" applyBorder="1">
      <alignment/>
      <protection/>
    </xf>
    <xf numFmtId="164" fontId="10" fillId="0" borderId="12" xfId="20" applyFont="1" applyBorder="1">
      <alignment/>
      <protection/>
    </xf>
    <xf numFmtId="164" fontId="1" fillId="0" borderId="15" xfId="20" applyFont="1" applyBorder="1" applyAlignment="1">
      <alignment horizontal="center"/>
      <protection/>
    </xf>
    <xf numFmtId="164" fontId="5" fillId="0" borderId="26" xfId="20" applyFont="1" applyBorder="1" applyAlignment="1">
      <alignment horizontal="center"/>
      <protection/>
    </xf>
    <xf numFmtId="164" fontId="10" fillId="0" borderId="1" xfId="20" applyFont="1" applyBorder="1" applyAlignment="1">
      <alignment horizontal="center"/>
      <protection/>
    </xf>
    <xf numFmtId="164" fontId="6" fillId="0" borderId="14" xfId="20" applyFont="1" applyBorder="1" applyAlignment="1">
      <alignment horizontal="center"/>
      <protection/>
    </xf>
    <xf numFmtId="164" fontId="25" fillId="0" borderId="7" xfId="20" applyFont="1" applyBorder="1" applyAlignment="1">
      <alignment horizontal="center"/>
      <protection/>
    </xf>
    <xf numFmtId="167" fontId="1" fillId="0" borderId="23" xfId="20" applyNumberFormat="1" applyBorder="1" applyAlignment="1">
      <alignment horizontal="center"/>
      <protection/>
    </xf>
    <xf numFmtId="164" fontId="1" fillId="0" borderId="24" xfId="20" applyBorder="1" applyAlignment="1">
      <alignment horizontal="center"/>
      <protection/>
    </xf>
    <xf numFmtId="169" fontId="1" fillId="0" borderId="3" xfId="20" applyNumberFormat="1" applyBorder="1" applyAlignment="1">
      <alignment horizontal="center"/>
      <protection/>
    </xf>
    <xf numFmtId="170" fontId="1" fillId="0" borderId="27" xfId="20" applyNumberFormat="1" applyFont="1" applyBorder="1" applyAlignment="1">
      <alignment horizontal="left"/>
      <protection/>
    </xf>
    <xf numFmtId="167" fontId="1" fillId="0" borderId="8" xfId="20" applyNumberFormat="1" applyBorder="1" applyAlignment="1">
      <alignment horizontal="center"/>
      <protection/>
    </xf>
    <xf numFmtId="164" fontId="1" fillId="0" borderId="28" xfId="20" applyBorder="1" applyAlignment="1">
      <alignment horizontal="center"/>
      <protection/>
    </xf>
    <xf numFmtId="170" fontId="1" fillId="0" borderId="29" xfId="20" applyNumberFormat="1" applyFont="1" applyBorder="1" applyAlignment="1">
      <alignment horizontal="center"/>
      <protection/>
    </xf>
    <xf numFmtId="170" fontId="1" fillId="0" borderId="0" xfId="20" applyNumberFormat="1" applyFill="1" applyAlignment="1">
      <alignment horizontal="center"/>
      <protection/>
    </xf>
    <xf numFmtId="170" fontId="5" fillId="0" borderId="27" xfId="20" applyNumberFormat="1" applyFont="1" applyFill="1" applyBorder="1" applyAlignment="1">
      <alignment horizontal="left"/>
      <protection/>
    </xf>
    <xf numFmtId="167" fontId="1" fillId="3" borderId="8" xfId="20" applyNumberFormat="1" applyFill="1" applyBorder="1" applyAlignment="1">
      <alignment horizontal="center"/>
      <protection/>
    </xf>
    <xf numFmtId="164" fontId="1" fillId="3" borderId="28" xfId="20" applyFill="1" applyBorder="1" applyAlignment="1">
      <alignment horizontal="center"/>
      <protection/>
    </xf>
    <xf numFmtId="169" fontId="1" fillId="3" borderId="0" xfId="20" applyNumberFormat="1" applyFill="1" applyBorder="1" applyAlignment="1">
      <alignment horizontal="center"/>
      <protection/>
    </xf>
    <xf numFmtId="164" fontId="1" fillId="0" borderId="29" xfId="20" applyFont="1" applyBorder="1" applyAlignment="1">
      <alignment horizontal="center"/>
      <protection/>
    </xf>
    <xf numFmtId="167" fontId="1" fillId="4" borderId="8" xfId="20" applyNumberFormat="1" applyFill="1" applyBorder="1" applyAlignment="1">
      <alignment horizontal="center"/>
      <protection/>
    </xf>
    <xf numFmtId="170" fontId="1" fillId="4" borderId="28" xfId="20" applyNumberFormat="1" applyFill="1" applyBorder="1" applyAlignment="1">
      <alignment horizontal="center"/>
      <protection/>
    </xf>
    <xf numFmtId="169" fontId="1" fillId="4" borderId="0" xfId="20" applyNumberFormat="1" applyFill="1" applyBorder="1" applyAlignment="1">
      <alignment horizontal="center"/>
      <protection/>
    </xf>
    <xf numFmtId="164" fontId="1" fillId="4" borderId="28" xfId="20" applyFill="1" applyBorder="1" applyAlignment="1">
      <alignment horizontal="center"/>
      <protection/>
    </xf>
    <xf numFmtId="169" fontId="1" fillId="4" borderId="11" xfId="20" applyNumberFormat="1" applyFill="1" applyBorder="1" applyAlignment="1">
      <alignment horizontal="center"/>
      <protection/>
    </xf>
    <xf numFmtId="170" fontId="1" fillId="0" borderId="29" xfId="20" applyNumberFormat="1" applyFill="1" applyBorder="1">
      <alignment/>
      <protection/>
    </xf>
    <xf numFmtId="170" fontId="1" fillId="4" borderId="29" xfId="20" applyNumberFormat="1" applyFill="1" applyBorder="1" applyAlignment="1">
      <alignment horizontal="center"/>
      <protection/>
    </xf>
    <xf numFmtId="164" fontId="35" fillId="4" borderId="30" xfId="20" applyFont="1" applyFill="1" applyBorder="1">
      <alignment/>
      <protection/>
    </xf>
    <xf numFmtId="167" fontId="1" fillId="0" borderId="15" xfId="20" applyNumberFormat="1" applyBorder="1" applyAlignment="1">
      <alignment horizontal="center"/>
      <protection/>
    </xf>
    <xf numFmtId="164" fontId="1" fillId="0" borderId="26" xfId="20" applyBorder="1" applyAlignment="1">
      <alignment horizontal="center"/>
      <protection/>
    </xf>
    <xf numFmtId="169" fontId="1" fillId="0" borderId="1" xfId="20" applyNumberFormat="1" applyBorder="1" applyAlignment="1">
      <alignment horizontal="center"/>
      <protection/>
    </xf>
    <xf numFmtId="169" fontId="1" fillId="0" borderId="6" xfId="20" applyNumberFormat="1" applyBorder="1" applyAlignment="1">
      <alignment horizontal="center"/>
      <protection/>
    </xf>
    <xf numFmtId="172" fontId="1" fillId="4" borderId="31" xfId="20" applyNumberFormat="1" applyFill="1" applyBorder="1" applyAlignment="1">
      <alignment horizontal="left"/>
      <protection/>
    </xf>
    <xf numFmtId="173" fontId="1" fillId="4" borderId="32" xfId="20" applyNumberFormat="1" applyFill="1" applyBorder="1" applyAlignment="1">
      <alignment horizontal="center"/>
      <protection/>
    </xf>
    <xf numFmtId="169" fontId="1" fillId="4" borderId="32" xfId="20" applyNumberFormat="1" applyFill="1" applyBorder="1" applyAlignment="1">
      <alignment horizontal="center"/>
      <protection/>
    </xf>
    <xf numFmtId="172" fontId="1" fillId="5" borderId="31" xfId="20" applyNumberFormat="1" applyFill="1" applyBorder="1" applyAlignment="1">
      <alignment horizontal="left"/>
      <protection/>
    </xf>
    <xf numFmtId="164" fontId="1" fillId="5" borderId="32" xfId="20" applyFill="1" applyBorder="1">
      <alignment/>
      <protection/>
    </xf>
    <xf numFmtId="164" fontId="1" fillId="5" borderId="33" xfId="20" applyFill="1" applyBorder="1">
      <alignment/>
      <protection/>
    </xf>
    <xf numFmtId="172" fontId="1" fillId="6" borderId="31" xfId="20" applyNumberFormat="1" applyFill="1" applyBorder="1" applyAlignment="1">
      <alignment horizontal="left"/>
      <protection/>
    </xf>
    <xf numFmtId="164" fontId="1" fillId="6" borderId="32" xfId="20" applyFill="1" applyBorder="1" applyAlignment="1">
      <alignment horizontal="center"/>
      <protection/>
    </xf>
    <xf numFmtId="172" fontId="1" fillId="7" borderId="31" xfId="20" applyNumberFormat="1" applyFill="1" applyBorder="1">
      <alignment/>
      <protection/>
    </xf>
    <xf numFmtId="164" fontId="1" fillId="7" borderId="32" xfId="20" applyFill="1" applyBorder="1">
      <alignment/>
      <protection/>
    </xf>
    <xf numFmtId="164" fontId="1" fillId="7" borderId="33" xfId="20" applyFill="1" applyBorder="1">
      <alignment/>
      <protection/>
    </xf>
    <xf numFmtId="164" fontId="1" fillId="4" borderId="8" xfId="20" applyFill="1" applyBorder="1">
      <alignment/>
      <protection/>
    </xf>
    <xf numFmtId="172" fontId="1" fillId="4" borderId="28" xfId="20" applyNumberFormat="1" applyFont="1" applyFill="1" applyBorder="1" applyAlignment="1">
      <alignment horizontal="center"/>
      <protection/>
    </xf>
    <xf numFmtId="172" fontId="5" fillId="4" borderId="0" xfId="20" applyNumberFormat="1" applyFont="1" applyFill="1" applyBorder="1" applyAlignment="1">
      <alignment horizontal="center"/>
      <protection/>
    </xf>
    <xf numFmtId="164" fontId="1" fillId="5" borderId="8" xfId="20" applyFill="1" applyBorder="1">
      <alignment/>
      <protection/>
    </xf>
    <xf numFmtId="164" fontId="1" fillId="5" borderId="28" xfId="20" applyFont="1" applyFill="1" applyBorder="1" applyAlignment="1">
      <alignment horizontal="center"/>
      <protection/>
    </xf>
    <xf numFmtId="169" fontId="5" fillId="5" borderId="11" xfId="20" applyNumberFormat="1" applyFont="1" applyFill="1" applyBorder="1" applyAlignment="1">
      <alignment horizontal="center"/>
      <protection/>
    </xf>
    <xf numFmtId="164" fontId="1" fillId="6" borderId="8" xfId="20" applyFill="1" applyBorder="1">
      <alignment/>
      <protection/>
    </xf>
    <xf numFmtId="164" fontId="1" fillId="6" borderId="28" xfId="20" applyFont="1" applyFill="1" applyBorder="1" applyAlignment="1">
      <alignment horizontal="center"/>
      <protection/>
    </xf>
    <xf numFmtId="164" fontId="5" fillId="6" borderId="0" xfId="20" applyNumberFormat="1" applyFont="1" applyFill="1" applyBorder="1" applyAlignment="1">
      <alignment horizontal="center"/>
      <protection/>
    </xf>
    <xf numFmtId="164" fontId="1" fillId="7" borderId="8" xfId="20" applyFill="1" applyBorder="1">
      <alignment/>
      <protection/>
    </xf>
    <xf numFmtId="164" fontId="1" fillId="7" borderId="28" xfId="20" applyFont="1" applyFill="1" applyBorder="1" applyAlignment="1">
      <alignment horizontal="center"/>
      <protection/>
    </xf>
    <xf numFmtId="169" fontId="5" fillId="7" borderId="11" xfId="20" applyNumberFormat="1" applyFont="1" applyFill="1" applyBorder="1" applyAlignment="1">
      <alignment horizontal="center"/>
      <protection/>
    </xf>
    <xf numFmtId="167" fontId="36" fillId="4" borderId="15" xfId="20" applyNumberFormat="1" applyFont="1" applyFill="1" applyBorder="1" applyAlignment="1">
      <alignment horizontal="center"/>
      <protection/>
    </xf>
    <xf numFmtId="164" fontId="36" fillId="4" borderId="26" xfId="20" applyFont="1" applyFill="1" applyBorder="1" applyAlignment="1">
      <alignment horizontal="center"/>
      <protection/>
    </xf>
    <xf numFmtId="164" fontId="36" fillId="4" borderId="1" xfId="20" applyFont="1" applyFill="1" applyBorder="1" applyAlignment="1">
      <alignment horizontal="center"/>
      <protection/>
    </xf>
    <xf numFmtId="164" fontId="36" fillId="5" borderId="15" xfId="20" applyFont="1" applyFill="1" applyBorder="1" applyAlignment="1">
      <alignment horizontal="center"/>
      <protection/>
    </xf>
    <xf numFmtId="164" fontId="36" fillId="5" borderId="26" xfId="20" applyFont="1" applyFill="1" applyBorder="1" applyAlignment="1">
      <alignment horizontal="center"/>
      <protection/>
    </xf>
    <xf numFmtId="164" fontId="36" fillId="5" borderId="6" xfId="20" applyFont="1" applyFill="1" applyBorder="1" applyAlignment="1">
      <alignment horizontal="center"/>
      <protection/>
    </xf>
    <xf numFmtId="164" fontId="36" fillId="6" borderId="15" xfId="20" applyFont="1" applyFill="1" applyBorder="1" applyAlignment="1">
      <alignment horizontal="center"/>
      <protection/>
    </xf>
    <xf numFmtId="164" fontId="36" fillId="6" borderId="26" xfId="20" applyFont="1" applyFill="1" applyBorder="1" applyAlignment="1">
      <alignment horizontal="center"/>
      <protection/>
    </xf>
    <xf numFmtId="164" fontId="36" fillId="6" borderId="1" xfId="20" applyFont="1" applyFill="1" applyBorder="1" applyAlignment="1">
      <alignment horizontal="center"/>
      <protection/>
    </xf>
    <xf numFmtId="164" fontId="36" fillId="7" borderId="15" xfId="20" applyFont="1" applyFill="1" applyBorder="1" applyAlignment="1">
      <alignment horizontal="center"/>
      <protection/>
    </xf>
    <xf numFmtId="164" fontId="36" fillId="7" borderId="26" xfId="20" applyFont="1" applyFill="1" applyBorder="1" applyAlignment="1">
      <alignment horizontal="center"/>
      <protection/>
    </xf>
    <xf numFmtId="164" fontId="36" fillId="7" borderId="6" xfId="20" applyFont="1" applyFill="1" applyBorder="1" applyAlignment="1">
      <alignment horizontal="center"/>
      <protection/>
    </xf>
    <xf numFmtId="169" fontId="1" fillId="4" borderId="8" xfId="20" applyNumberFormat="1" applyFill="1" applyBorder="1" applyAlignment="1">
      <alignment horizontal="center"/>
      <protection/>
    </xf>
    <xf numFmtId="169" fontId="1" fillId="4" borderId="28" xfId="20" applyNumberFormat="1" applyFill="1" applyBorder="1" applyAlignment="1">
      <alignment horizontal="center"/>
      <protection/>
    </xf>
    <xf numFmtId="169" fontId="1" fillId="5" borderId="8" xfId="20" applyNumberFormat="1" applyFill="1" applyBorder="1" applyAlignment="1">
      <alignment horizontal="center"/>
      <protection/>
    </xf>
    <xf numFmtId="169" fontId="1" fillId="5" borderId="28" xfId="20" applyNumberFormat="1" applyFill="1" applyBorder="1" applyAlignment="1">
      <alignment horizontal="center"/>
      <protection/>
    </xf>
    <xf numFmtId="169" fontId="1" fillId="5" borderId="11" xfId="20" applyNumberFormat="1" applyFill="1" applyBorder="1" applyAlignment="1">
      <alignment horizontal="center"/>
      <protection/>
    </xf>
    <xf numFmtId="169" fontId="1" fillId="6" borderId="23" xfId="20" applyNumberFormat="1" applyFill="1" applyBorder="1" applyAlignment="1">
      <alignment horizontal="center"/>
      <protection/>
    </xf>
    <xf numFmtId="169" fontId="1" fillId="6" borderId="24" xfId="20" applyNumberFormat="1" applyFill="1" applyBorder="1" applyAlignment="1">
      <alignment horizontal="center"/>
      <protection/>
    </xf>
    <xf numFmtId="169" fontId="1" fillId="6" borderId="3" xfId="20" applyNumberFormat="1" applyFill="1" applyBorder="1" applyAlignment="1">
      <alignment horizontal="center"/>
      <protection/>
    </xf>
    <xf numFmtId="169" fontId="1" fillId="7" borderId="23" xfId="20" applyNumberFormat="1" applyFill="1" applyBorder="1" applyAlignment="1">
      <alignment horizontal="center"/>
      <protection/>
    </xf>
    <xf numFmtId="169" fontId="1" fillId="7" borderId="24" xfId="20" applyNumberFormat="1" applyFill="1" applyBorder="1" applyAlignment="1">
      <alignment horizontal="center"/>
      <protection/>
    </xf>
    <xf numFmtId="169" fontId="1" fillId="7" borderId="9" xfId="20" applyNumberFormat="1" applyFill="1" applyBorder="1" applyAlignment="1">
      <alignment horizontal="center"/>
      <protection/>
    </xf>
    <xf numFmtId="169" fontId="1" fillId="6" borderId="8" xfId="20" applyNumberFormat="1" applyFill="1" applyBorder="1" applyAlignment="1">
      <alignment horizontal="center"/>
      <protection/>
    </xf>
    <xf numFmtId="169" fontId="1" fillId="6" borderId="28" xfId="20" applyNumberFormat="1" applyFill="1" applyBorder="1" applyAlignment="1">
      <alignment horizontal="center"/>
      <protection/>
    </xf>
    <xf numFmtId="169" fontId="1" fillId="6" borderId="0" xfId="20" applyNumberFormat="1" applyFill="1" applyBorder="1" applyAlignment="1">
      <alignment horizontal="center"/>
      <protection/>
    </xf>
    <xf numFmtId="169" fontId="1" fillId="7" borderId="8" xfId="20" applyNumberFormat="1" applyFill="1" applyBorder="1" applyAlignment="1">
      <alignment horizontal="center"/>
      <protection/>
    </xf>
    <xf numFmtId="169" fontId="1" fillId="7" borderId="28" xfId="20" applyNumberFormat="1" applyFill="1" applyBorder="1" applyAlignment="1">
      <alignment horizontal="center"/>
      <protection/>
    </xf>
    <xf numFmtId="169" fontId="1" fillId="7" borderId="11" xfId="20" applyNumberFormat="1" applyFill="1" applyBorder="1" applyAlignment="1">
      <alignment horizontal="center"/>
      <protection/>
    </xf>
    <xf numFmtId="169" fontId="1" fillId="4" borderId="15" xfId="20" applyNumberFormat="1" applyFill="1" applyBorder="1" applyAlignment="1">
      <alignment horizontal="center"/>
      <protection/>
    </xf>
    <xf numFmtId="169" fontId="1" fillId="4" borderId="26" xfId="20" applyNumberFormat="1" applyFill="1" applyBorder="1" applyAlignment="1">
      <alignment horizontal="center"/>
      <protection/>
    </xf>
    <xf numFmtId="169" fontId="1" fillId="4" borderId="1" xfId="20" applyNumberFormat="1" applyFill="1" applyBorder="1" applyAlignment="1">
      <alignment horizontal="center"/>
      <protection/>
    </xf>
    <xf numFmtId="169" fontId="1" fillId="6" borderId="5" xfId="20" applyNumberFormat="1" applyFill="1" applyBorder="1" applyAlignment="1">
      <alignment horizontal="center"/>
      <protection/>
    </xf>
    <xf numFmtId="169" fontId="1" fillId="6" borderId="26" xfId="20" applyNumberFormat="1" applyFill="1" applyBorder="1" applyAlignment="1">
      <alignment horizontal="center"/>
      <protection/>
    </xf>
    <xf numFmtId="169" fontId="1" fillId="6" borderId="1" xfId="20" applyNumberFormat="1" applyFill="1" applyBorder="1" applyAlignment="1">
      <alignment horizontal="center"/>
      <protection/>
    </xf>
    <xf numFmtId="169" fontId="1" fillId="5" borderId="15" xfId="20" applyNumberFormat="1" applyFill="1" applyBorder="1" applyAlignment="1">
      <alignment horizontal="center"/>
      <protection/>
    </xf>
    <xf numFmtId="169" fontId="1" fillId="5" borderId="26" xfId="20" applyNumberFormat="1" applyFill="1" applyBorder="1" applyAlignment="1">
      <alignment horizontal="center"/>
      <protection/>
    </xf>
    <xf numFmtId="169" fontId="1" fillId="5" borderId="6" xfId="20" applyNumberFormat="1" applyFill="1" applyBorder="1" applyAlignment="1">
      <alignment horizontal="center"/>
      <protection/>
    </xf>
    <xf numFmtId="169" fontId="1" fillId="0" borderId="8" xfId="20" applyNumberFormat="1" applyFill="1" applyBorder="1" applyAlignment="1">
      <alignment horizontal="center"/>
      <protection/>
    </xf>
    <xf numFmtId="169" fontId="17" fillId="0" borderId="0" xfId="20" applyNumberFormat="1" applyFont="1" applyBorder="1" applyAlignment="1">
      <alignment horizontal="left"/>
      <protection/>
    </xf>
    <xf numFmtId="169" fontId="1" fillId="0" borderId="0" xfId="20" applyNumberFormat="1" applyBorder="1">
      <alignment/>
      <protection/>
    </xf>
    <xf numFmtId="169" fontId="1" fillId="0" borderId="20" xfId="20" applyNumberFormat="1" applyBorder="1">
      <alignment/>
      <protection/>
    </xf>
    <xf numFmtId="164" fontId="1" fillId="0" borderId="20" xfId="20" applyBorder="1">
      <alignment/>
      <protection/>
    </xf>
    <xf numFmtId="169" fontId="1" fillId="7" borderId="15" xfId="20" applyNumberFormat="1" applyFill="1" applyBorder="1" applyAlignment="1">
      <alignment horizontal="center"/>
      <protection/>
    </xf>
    <xf numFmtId="169" fontId="1" fillId="7" borderId="26" xfId="20" applyNumberFormat="1" applyFill="1" applyBorder="1" applyAlignment="1">
      <alignment horizontal="center"/>
      <protection/>
    </xf>
    <xf numFmtId="169" fontId="1" fillId="7" borderId="6" xfId="20" applyNumberForma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7878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Venushelligkeit und andere Parameter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Venushelligkeit!$B$5:$B$18</c:f>
              <c:numCache/>
            </c:numRef>
          </c:xVal>
          <c:yVal>
            <c:numRef>
              <c:f>Venushelligkeit!$D$5:$D$18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Venushelligkeit!$B$5:$B$19</c:f>
              <c:numCache/>
            </c:numRef>
          </c:xVal>
          <c:yVal>
            <c:numRef>
              <c:f>Venushelligkeit!$F$5:$F$19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Venushelligkeit!$B$5:$B$19</c:f>
              <c:numCache/>
            </c:numRef>
          </c:xVal>
          <c:yVal>
            <c:numRef>
              <c:f>Venushelligkeit!$G$5:$G$19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Venushelligkeit!$B$5:$B$19</c:f>
              <c:numCache/>
            </c:numRef>
          </c:xVal>
          <c:yVal>
            <c:numRef>
              <c:f>Venushelligkeit!$H$5:$H$19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Venushelligkeit!$B$5:$B$19</c:f>
              <c:numCache/>
            </c:numRef>
          </c:xVal>
          <c:yVal>
            <c:numRef>
              <c:f>Venushelligkeit!$I$5:$I$19</c:f>
              <c:numCache/>
            </c:numRef>
          </c:yVal>
          <c:smooth val="1"/>
        </c:ser>
        <c:axId val="11625619"/>
        <c:axId val="37521708"/>
      </c:scatterChart>
      <c:valAx>
        <c:axId val="11625619"/>
        <c:scaling>
          <c:orientation val="minMax"/>
          <c:max val="31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Tages-Nr.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crossBetween val="midCat"/>
        <c:dispUnits/>
        <c:majorUnit val="20"/>
        <c:minorUnit val="10"/>
      </c:valAx>
      <c:valAx>
        <c:axId val="37521708"/>
        <c:scaling>
          <c:orientation val="minMax"/>
          <c:max val="24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619"/>
        <c:crosses val="autoZero"/>
        <c:crossBetween val="midCat"/>
        <c:dispUnits/>
        <c:majorUnit val="20"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Venusbahn!$I$5:$I$20</c:f>
              <c:numCache/>
            </c:numRef>
          </c:xVal>
          <c:yVal>
            <c:numRef>
              <c:f>Venusbahn!$J$5:$J$20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Venusbahn!$J$23:$J$26</c:f>
              <c:numCache/>
            </c:numRef>
          </c:xVal>
          <c:yVal>
            <c:numRef>
              <c:f>Venusbahn!$K$23:$K$26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Venusbahn!$J$26</c:f>
              <c:numCache/>
            </c:numRef>
          </c:xVal>
          <c:yVal>
            <c:numRef>
              <c:f>Venusbahn!$K$26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Venusbahn!$I$16</c:f>
              <c:numCache/>
            </c:numRef>
          </c:xVal>
          <c:yVal>
            <c:numRef>
              <c:f>Venusbahn!$J$16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Venusbahn!$E$5</c:f>
              <c:numCache/>
            </c:numRef>
          </c:xVal>
          <c:yVal>
            <c:numRef>
              <c:f>Venusbahn!$F$5</c:f>
              <c:numCache/>
            </c:numRef>
          </c:yVal>
          <c:smooth val="1"/>
        </c:ser>
        <c:axId val="2151053"/>
        <c:axId val="19359478"/>
      </c:scatterChart>
      <c:valAx>
        <c:axId val="2151053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/ AE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crossBetween val="midCat"/>
        <c:dispUnits/>
        <c:majorUnit val="0.5"/>
      </c:valAx>
      <c:valAx>
        <c:axId val="19359478"/>
        <c:scaling>
          <c:orientation val="minMax"/>
          <c:max val="1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/ AE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53"/>
        <c:crosses val="autoZero"/>
        <c:crossBetween val="midCat"/>
        <c:dispUnits/>
        <c:majorUnit val="0.5"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Graph 3a)  6.04.02    m = -3.9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= 28°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Lichtgestalten!$B$22:$B$40</c:f>
              <c:numCache/>
            </c:numRef>
          </c:xVal>
          <c:yVal>
            <c:numRef>
              <c:f>Lichtgestalten!$A$22:$A$40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Lichtgestalten!$C$22:$C$40</c:f>
              <c:numCache/>
            </c:numRef>
          </c:xVal>
          <c:yVal>
            <c:numRef>
              <c:f>Lichtgestalten!$A$22:$A$40</c:f>
              <c:numCache/>
            </c:numRef>
          </c:yVal>
          <c:smooth val="1"/>
        </c:ser>
        <c:axId val="40017575"/>
        <c:axId val="24613856"/>
      </c:scatterChart>
      <c:valAx>
        <c:axId val="40017575"/>
        <c:scaling>
          <c:orientation val="minMax"/>
          <c:max val="1"/>
          <c:min val="-1"/>
        </c:scaling>
        <c:axPos val="b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 val="autoZero"/>
        <c:crossBetween val="midCat"/>
        <c:dispUnits/>
        <c:majorUnit val="0.5"/>
      </c:valAx>
      <c:valAx>
        <c:axId val="24613856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crossBetween val="midCat"/>
        <c:dispUnits/>
        <c:majorUnit val="0.5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Graph 3b)  15.07.02    m = -4.1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= 71°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Lichtgestalten!$E$22:$E$51</c:f>
              <c:numCache/>
            </c:numRef>
          </c:xVal>
          <c:yVal>
            <c:numRef>
              <c:f>Lichtgestalten!$D$22:$D$51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Lichtgestalten!$F$22:$F$51</c:f>
              <c:numCache/>
            </c:numRef>
          </c:xVal>
          <c:yVal>
            <c:numRef>
              <c:f>Lichtgestalten!$D$22:$D$51</c:f>
              <c:numCache/>
            </c:numRef>
          </c:yVal>
          <c:smooth val="1"/>
        </c:ser>
        <c:axId val="20198113"/>
        <c:axId val="47565290"/>
      </c:scatterChart>
      <c:valAx>
        <c:axId val="20198113"/>
        <c:scaling>
          <c:orientation val="minMax"/>
          <c:max val="1"/>
          <c:min val="-1"/>
        </c:scaling>
        <c:axPos val="b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 val="autoZero"/>
        <c:crossBetween val="midCat"/>
        <c:dispUnits/>
        <c:majorUnit val="0.5"/>
      </c:valAx>
      <c:valAx>
        <c:axId val="47565290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98113"/>
        <c:crosses val="autoZero"/>
        <c:crossBetween val="midCat"/>
        <c:dispUnits/>
        <c:majorUnit val="0.5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Graph 3c)  28.09.02   m = -4.6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= 121°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Lichtgestalten!$H$22:$H$50</c:f>
              <c:numCache/>
            </c:numRef>
          </c:xVal>
          <c:yVal>
            <c:numRef>
              <c:f>Lichtgestalten!$G$22:$G$50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Lichtgestalten!$I$22:$I$50</c:f>
              <c:numCache/>
            </c:numRef>
          </c:xVal>
          <c:yVal>
            <c:numRef>
              <c:f>Lichtgestalten!$G$22:$G$50</c:f>
              <c:numCache/>
            </c:numRef>
          </c:yVal>
          <c:smooth val="1"/>
        </c:ser>
        <c:axId val="25434427"/>
        <c:axId val="27583252"/>
      </c:scatterChart>
      <c:valAx>
        <c:axId val="25434427"/>
        <c:scaling>
          <c:orientation val="minMax"/>
          <c:max val="1"/>
          <c:min val="-1"/>
        </c:scaling>
        <c:axPos val="b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83252"/>
        <c:crosses val="autoZero"/>
        <c:crossBetween val="midCat"/>
        <c:dispUnits/>
        <c:majorUnit val="0.5"/>
      </c:valAx>
      <c:valAx>
        <c:axId val="27583252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34427"/>
        <c:crosses val="autoZero"/>
        <c:crossBetween val="midCat"/>
        <c:dispUnits/>
        <c:majorUnit val="0.5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Graph 3d)  23.10.02   m = -4.3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= 159°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Lichtgestalten!$K$22:$K$72</c:f>
              <c:numCache/>
            </c:numRef>
          </c:xVal>
          <c:yVal>
            <c:numRef>
              <c:f>Lichtgestalten!$J$22:$J$72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Lichtgestalten!$L$22:$L$72</c:f>
              <c:numCache/>
            </c:numRef>
          </c:xVal>
          <c:yVal>
            <c:numRef>
              <c:f>Lichtgestalten!$J$22:$J$72</c:f>
              <c:numCache/>
            </c:numRef>
          </c:yVal>
          <c:smooth val="1"/>
        </c:ser>
        <c:axId val="46922677"/>
        <c:axId val="19650910"/>
      </c:scatterChart>
      <c:valAx>
        <c:axId val="46922677"/>
        <c:scaling>
          <c:orientation val="minMax"/>
          <c:max val="1"/>
          <c:min val="-1"/>
        </c:scaling>
        <c:axPos val="b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50910"/>
        <c:crosses val="autoZero"/>
        <c:crossBetween val="midCat"/>
        <c:dispUnits/>
        <c:majorUnit val="0.5"/>
      </c:valAx>
      <c:valAx>
        <c:axId val="19650910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 val="autoZero"/>
        <c:crossBetween val="midCat"/>
        <c:dispUnits/>
        <c:majorUnit val="0.5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9525</xdr:rowOff>
    </xdr:from>
    <xdr:to>
      <xdr:col>9</xdr:col>
      <xdr:colOff>47625</xdr:colOff>
      <xdr:row>39</xdr:row>
      <xdr:rowOff>104775</xdr:rowOff>
    </xdr:to>
    <xdr:grpSp>
      <xdr:nvGrpSpPr>
        <xdr:cNvPr id="1" name="Group 11"/>
        <xdr:cNvGrpSpPr>
          <a:grpSpLocks/>
        </xdr:cNvGrpSpPr>
      </xdr:nvGrpSpPr>
      <xdr:grpSpPr>
        <a:xfrm>
          <a:off x="200025" y="2962275"/>
          <a:ext cx="5238750" cy="4095750"/>
          <a:chOff x="328" y="4826"/>
          <a:chExt cx="8695" cy="569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76" y="14"/>
          <a:ext cx="70" cy="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Freeform 7"/>
          <xdr:cNvSpPr>
            <a:spLocks/>
          </xdr:cNvSpPr>
        </xdr:nvSpPr>
        <xdr:spPr>
          <a:xfrm>
            <a:off x="1128" y="5916"/>
            <a:ext cx="6936" cy="1910"/>
          </a:xfrm>
          <a:custGeom>
            <a:pathLst/>
          </a:custGeom>
          <a:noFill/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55</xdr:row>
      <xdr:rowOff>85725</xdr:rowOff>
    </xdr:from>
    <xdr:to>
      <xdr:col>11</xdr:col>
      <xdr:colOff>238125</xdr:colOff>
      <xdr:row>56</xdr:row>
      <xdr:rowOff>123825</xdr:rowOff>
    </xdr:to>
    <xdr:sp>
      <xdr:nvSpPr>
        <xdr:cNvPr id="1" name="Text Box 75"/>
        <xdr:cNvSpPr>
          <a:spLocks/>
        </xdr:cNvSpPr>
      </xdr:nvSpPr>
      <xdr:spPr>
        <a:xfrm>
          <a:off x="5400675" y="9886950"/>
          <a:ext cx="76200" cy="2286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47625</xdr:rowOff>
    </xdr:from>
    <xdr:to>
      <xdr:col>16</xdr:col>
      <xdr:colOff>28575</xdr:colOff>
      <xdr:row>58</xdr:row>
      <xdr:rowOff>57150</xdr:rowOff>
    </xdr:to>
    <xdr:grpSp>
      <xdr:nvGrpSpPr>
        <xdr:cNvPr id="2" name="Gruppieren 2"/>
        <xdr:cNvGrpSpPr>
          <a:grpSpLocks/>
        </xdr:cNvGrpSpPr>
      </xdr:nvGrpSpPr>
      <xdr:grpSpPr>
        <a:xfrm>
          <a:off x="1038225" y="4514850"/>
          <a:ext cx="7143750" cy="5915025"/>
          <a:chOff x="1714" y="7357"/>
          <a:chExt cx="11821" cy="8227"/>
        </a:xfrm>
        <a:solidFill>
          <a:srgbClr val="FFFFFF"/>
        </a:solidFill>
      </xdr:grpSpPr>
      <xdr:grpSp>
        <xdr:nvGrpSpPr>
          <xdr:cNvPr id="3" name="Group 106"/>
          <xdr:cNvGrpSpPr>
            <a:grpSpLocks/>
          </xdr:cNvGrpSpPr>
        </xdr:nvGrpSpPr>
        <xdr:grpSpPr>
          <a:xfrm>
            <a:off x="1714" y="7357"/>
            <a:ext cx="11821" cy="8227"/>
            <a:chOff x="1714" y="7357"/>
            <a:chExt cx="11821" cy="8227"/>
          </a:xfrm>
          <a:solidFill>
            <a:srgbClr val="FFFFFF"/>
          </a:solidFill>
        </xdr:grpSpPr>
        <xdr:grpSp>
          <xdr:nvGrpSpPr>
            <xdr:cNvPr id="4" name="Group 105"/>
            <xdr:cNvGrpSpPr>
              <a:grpSpLocks/>
            </xdr:cNvGrpSpPr>
          </xdr:nvGrpSpPr>
          <xdr:grpSpPr>
            <a:xfrm>
              <a:off x="1714" y="7357"/>
              <a:ext cx="11821" cy="8227"/>
              <a:chOff x="1714" y="7357"/>
              <a:chExt cx="11821" cy="8227"/>
            </a:xfrm>
            <a:solidFill>
              <a:srgbClr val="FFFFFF"/>
            </a:solidFill>
          </xdr:grpSpPr>
          <xdr:graphicFrame>
            <xdr:nvGraphicFramePr>
              <xdr:cNvPr id="5" name="Chart 5"/>
              <xdr:cNvGraphicFramePr/>
            </xdr:nvGraphicFramePr>
            <xdr:xfrm>
              <a:off x="1714" y="65"/>
              <a:ext cx="38" cy="74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6" name="Text Box 2"/>
              <xdr:cNvSpPr>
                <a:spLocks/>
              </xdr:cNvSpPr>
            </xdr:nvSpPr>
            <xdr:spPr>
              <a:xfrm>
                <a:off x="2512" y="14138"/>
                <a:ext cx="3023" cy="555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Erde am 6.4.02. 
Festgehalten bis 2.11.02 </a:t>
                </a:r>
              </a:p>
            </xdr:txBody>
          </xdr:sp>
          <xdr:sp>
            <xdr:nvSpPr>
              <xdr:cNvPr id="7" name="Text Box 17"/>
              <xdr:cNvSpPr>
                <a:spLocks/>
              </xdr:cNvSpPr>
            </xdr:nvSpPr>
            <xdr:spPr>
              <a:xfrm>
                <a:off x="11200" y="9599"/>
                <a:ext cx="1354" cy="483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Venus am  6.4.02</a:t>
                </a:r>
              </a:p>
            </xdr:txBody>
          </xdr:sp>
          <xdr:sp>
            <xdr:nvSpPr>
              <xdr:cNvPr id="8" name="Text Box 33"/>
              <xdr:cNvSpPr>
                <a:spLocks/>
              </xdr:cNvSpPr>
            </xdr:nvSpPr>
            <xdr:spPr>
              <a:xfrm>
                <a:off x="9640" y="12443"/>
                <a:ext cx="816" cy="234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Sonne</a:t>
                </a:r>
              </a:p>
            </xdr:txBody>
          </xdr:sp>
          <xdr:sp>
            <xdr:nvSpPr>
              <xdr:cNvPr id="9" name="Text Box 32"/>
              <xdr:cNvSpPr>
                <a:spLocks/>
              </xdr:cNvSpPr>
            </xdr:nvSpPr>
            <xdr:spPr>
              <a:xfrm>
                <a:off x="5166" y="11732"/>
                <a:ext cx="2411" cy="533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28.9.02  Venus im Helligkeitsmaximum</a:t>
                </a:r>
              </a:p>
            </xdr:txBody>
          </xdr:sp>
          <xdr:sp>
            <xdr:nvSpPr>
              <xdr:cNvPr id="10" name="Arc 62"/>
              <xdr:cNvSpPr>
                <a:spLocks/>
              </xdr:cNvSpPr>
            </xdr:nvSpPr>
            <xdr:spPr>
              <a:xfrm rot="6300000">
                <a:off x="4445" y="12301"/>
                <a:ext cx="759" cy="650"/>
              </a:xfrm>
              <a:custGeom>
                <a:pathLst/>
              </a:cu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Text Box 66"/>
              <xdr:cNvSpPr>
                <a:spLocks/>
              </xdr:cNvSpPr>
            </xdr:nvSpPr>
            <xdr:spPr>
              <a:xfrm>
                <a:off x="5482" y="9656"/>
                <a:ext cx="872" cy="234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15.7.02</a:t>
                </a:r>
              </a:p>
            </xdr:txBody>
          </xdr:sp>
          <xdr:sp>
            <xdr:nvSpPr>
              <xdr:cNvPr id="12" name="Line 68"/>
              <xdr:cNvSpPr>
                <a:spLocks/>
              </xdr:cNvSpPr>
            </xdr:nvSpPr>
            <xdr:spPr>
              <a:xfrm flipH="1">
                <a:off x="4628" y="12005"/>
                <a:ext cx="464" cy="366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Text Box 69"/>
              <xdr:cNvSpPr>
                <a:spLocks/>
              </xdr:cNvSpPr>
            </xdr:nvSpPr>
            <xdr:spPr>
              <a:xfrm>
                <a:off x="4758" y="10132"/>
                <a:ext cx="2021" cy="50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Relativbewegung der Venus</a:t>
                </a:r>
              </a:p>
            </xdr:txBody>
          </xdr:sp>
          <xdr:sp>
            <xdr:nvSpPr>
              <xdr:cNvPr id="14" name="Line 71"/>
              <xdr:cNvSpPr>
                <a:spLocks/>
              </xdr:cNvSpPr>
            </xdr:nvSpPr>
            <xdr:spPr>
              <a:xfrm flipH="1">
                <a:off x="5260" y="10629"/>
                <a:ext cx="204" cy="224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Text Box 48"/>
              <xdr:cNvSpPr>
                <a:spLocks/>
              </xdr:cNvSpPr>
            </xdr:nvSpPr>
            <xdr:spPr>
              <a:xfrm>
                <a:off x="4628" y="12443"/>
                <a:ext cx="387" cy="331"/>
              </a:xfrm>
              <a:prstGeom prst="rect">
                <a:avLst/>
              </a:prstGeom>
              <a:noFill/>
              <a:ln w="9360" cmpd="sng">
                <a:noFill/>
              </a:ln>
            </xdr:spPr>
            <xdr:txBody>
              <a:bodyPr vertOverflow="clip" wrap="square" lIns="90000" tIns="45000" rIns="90000" bIns="45000"/>
              <a:p>
                <a:pPr algn="l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</a:t>
                </a:r>
              </a:p>
            </xdr:txBody>
          </xdr:sp>
        </xdr:grpSp>
        <xdr:sp>
          <xdr:nvSpPr>
            <xdr:cNvPr id="16" name="Text Box 76"/>
            <xdr:cNvSpPr>
              <a:spLocks/>
            </xdr:cNvSpPr>
          </xdr:nvSpPr>
          <xdr:spPr>
            <a:xfrm>
              <a:off x="4852" y="13735"/>
              <a:ext cx="1037" cy="212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2.11.02</a:t>
              </a:r>
            </a:p>
          </xdr:txBody>
        </xdr:sp>
        <xdr:sp>
          <xdr:nvSpPr>
            <xdr:cNvPr id="17" name="Text Box 77"/>
            <xdr:cNvSpPr>
              <a:spLocks/>
            </xdr:cNvSpPr>
          </xdr:nvSpPr>
          <xdr:spPr>
            <a:xfrm>
              <a:off x="4740" y="13167"/>
              <a:ext cx="1037" cy="247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0000" tIns="45000" rIns="90000" bIns="4500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23.10.02</a:t>
              </a:r>
            </a:p>
          </xdr:txBody>
        </xdr:sp>
      </xdr:grpSp>
      <xdr:sp>
        <xdr:nvSpPr>
          <xdr:cNvPr id="18" name="Gerade Verbindung mit Pfeil 4"/>
          <xdr:cNvSpPr>
            <a:spLocks/>
          </xdr:cNvSpPr>
        </xdr:nvSpPr>
        <xdr:spPr>
          <a:xfrm flipV="1">
            <a:off x="9492" y="7672"/>
            <a:ext cx="0" cy="740"/>
          </a:xfrm>
          <a:prstGeom prst="bentConnector3">
            <a:avLst/>
          </a:prstGeom>
          <a:noFill/>
          <a:ln w="648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Gerade Verbindung mit Pfeil 5"/>
          <xdr:cNvSpPr>
            <a:spLocks/>
          </xdr:cNvSpPr>
        </xdr:nvSpPr>
        <xdr:spPr>
          <a:xfrm>
            <a:off x="12164" y="12698"/>
            <a:ext cx="1040" cy="0"/>
          </a:xfrm>
          <a:prstGeom prst="bentConnector3">
            <a:avLst/>
          </a:prstGeom>
          <a:noFill/>
          <a:ln w="648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71</xdr:row>
      <xdr:rowOff>104775</xdr:rowOff>
    </xdr:from>
    <xdr:to>
      <xdr:col>4</xdr:col>
      <xdr:colOff>552450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276225" y="11658600"/>
        <a:ext cx="29146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71</xdr:row>
      <xdr:rowOff>95250</xdr:rowOff>
    </xdr:from>
    <xdr:to>
      <xdr:col>9</xdr:col>
      <xdr:colOff>409575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3324225" y="11649075"/>
        <a:ext cx="29241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88</xdr:row>
      <xdr:rowOff>19050</xdr:rowOff>
    </xdr:from>
    <xdr:to>
      <xdr:col>4</xdr:col>
      <xdr:colOff>542925</xdr:colOff>
      <xdr:row>104</xdr:row>
      <xdr:rowOff>47625</xdr:rowOff>
    </xdr:to>
    <xdr:graphicFrame>
      <xdr:nvGraphicFramePr>
        <xdr:cNvPr id="3" name="Chart 3"/>
        <xdr:cNvGraphicFramePr/>
      </xdr:nvGraphicFramePr>
      <xdr:xfrm>
        <a:off x="266700" y="14325600"/>
        <a:ext cx="29146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88</xdr:row>
      <xdr:rowOff>19050</xdr:rowOff>
    </xdr:from>
    <xdr:to>
      <xdr:col>9</xdr:col>
      <xdr:colOff>419100</xdr:colOff>
      <xdr:row>104</xdr:row>
      <xdr:rowOff>47625</xdr:rowOff>
    </xdr:to>
    <xdr:graphicFrame>
      <xdr:nvGraphicFramePr>
        <xdr:cNvPr id="4" name="Chart 4"/>
        <xdr:cNvGraphicFramePr/>
      </xdr:nvGraphicFramePr>
      <xdr:xfrm>
        <a:off x="3333750" y="14325600"/>
        <a:ext cx="29241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8.00390625" style="1" customWidth="1"/>
    <col min="2" max="3" width="6.8515625" style="1" customWidth="1"/>
    <col min="4" max="4" width="10.00390625" style="1" customWidth="1"/>
    <col min="5" max="5" width="5.8515625" style="1" customWidth="1"/>
    <col min="6" max="6" width="8.7109375" style="1" customWidth="1"/>
    <col min="7" max="7" width="11.00390625" style="1" customWidth="1"/>
    <col min="8" max="8" width="13.8515625" style="1" customWidth="1"/>
    <col min="9" max="10" width="9.7109375" style="1" customWidth="1"/>
    <col min="11" max="16384" width="10.57421875" style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3"/>
      <c r="J1" s="4"/>
      <c r="K1" s="4"/>
    </row>
    <row r="2" spans="2:11" ht="12.75">
      <c r="B2" s="5" t="s">
        <v>1</v>
      </c>
      <c r="C2" s="5"/>
      <c r="D2" s="5"/>
      <c r="J2" s="6"/>
      <c r="K2" s="6"/>
    </row>
    <row r="3" spans="1:11" ht="13.5">
      <c r="A3" s="7" t="s">
        <v>2</v>
      </c>
      <c r="B3" s="8" t="s">
        <v>3</v>
      </c>
      <c r="C3" s="9" t="s">
        <v>4</v>
      </c>
      <c r="D3" s="9"/>
      <c r="E3" s="10" t="s">
        <v>5</v>
      </c>
      <c r="F3" s="10"/>
      <c r="G3" s="11" t="s">
        <v>6</v>
      </c>
      <c r="H3" s="12" t="s">
        <v>7</v>
      </c>
      <c r="I3" s="10" t="s">
        <v>8</v>
      </c>
      <c r="J3" s="6"/>
      <c r="K3" s="6"/>
    </row>
    <row r="4" spans="1:11" ht="13.5">
      <c r="A4" s="13"/>
      <c r="B4" s="14" t="s">
        <v>9</v>
      </c>
      <c r="C4" s="13" t="s">
        <v>10</v>
      </c>
      <c r="D4" s="15" t="s">
        <v>11</v>
      </c>
      <c r="E4" s="13" t="s">
        <v>12</v>
      </c>
      <c r="F4" s="16" t="s">
        <v>13</v>
      </c>
      <c r="G4" s="17" t="s">
        <v>14</v>
      </c>
      <c r="H4" s="18" t="s">
        <v>15</v>
      </c>
      <c r="I4" s="19" t="s">
        <v>16</v>
      </c>
      <c r="J4" s="20"/>
      <c r="K4" s="20"/>
    </row>
    <row r="5" spans="1:10" ht="12.75">
      <c r="A5" s="21">
        <v>37352</v>
      </c>
      <c r="B5" s="22">
        <f>A5-$A$5+96</f>
        <v>96</v>
      </c>
      <c r="C5" s="23">
        <v>-3.9</v>
      </c>
      <c r="D5" s="24">
        <f>2.512^(-C5)*3</f>
        <v>108.94262399048606</v>
      </c>
      <c r="E5" s="25">
        <v>1.578</v>
      </c>
      <c r="F5" s="26">
        <f>E5*149.6</f>
        <v>236.0688</v>
      </c>
      <c r="G5" s="27">
        <v>94</v>
      </c>
      <c r="H5" s="27">
        <v>10.57</v>
      </c>
      <c r="I5" s="27">
        <v>28</v>
      </c>
      <c r="J5" s="28"/>
    </row>
    <row r="6" spans="1:11" ht="12.75">
      <c r="A6" s="29">
        <f aca="true" t="shared" si="0" ref="A6:A12">A5+20</f>
        <v>37372</v>
      </c>
      <c r="B6" s="30">
        <f aca="true" t="shared" si="1" ref="B6:B19">A6-$A$5+96</f>
        <v>116</v>
      </c>
      <c r="C6" s="31">
        <v>-3.9</v>
      </c>
      <c r="D6" s="32">
        <f>2.512^(-C6)*3</f>
        <v>108.94262399048606</v>
      </c>
      <c r="E6" s="33">
        <v>1.497</v>
      </c>
      <c r="F6" s="34">
        <f>E6*149.6</f>
        <v>223.9512</v>
      </c>
      <c r="G6" s="35">
        <v>91</v>
      </c>
      <c r="H6" s="35">
        <v>11.14</v>
      </c>
      <c r="I6" s="35">
        <v>36</v>
      </c>
      <c r="K6" s="36"/>
    </row>
    <row r="7" spans="1:11" ht="12.75">
      <c r="A7" s="29">
        <f t="shared" si="0"/>
        <v>37392</v>
      </c>
      <c r="B7" s="30">
        <f t="shared" si="1"/>
        <v>136</v>
      </c>
      <c r="C7" s="31">
        <v>-3.9</v>
      </c>
      <c r="D7" s="32">
        <f aca="true" t="shared" si="2" ref="D7:D18">2.512^(-C7)*3</f>
        <v>108.94262399048606</v>
      </c>
      <c r="E7" s="33">
        <v>1.396</v>
      </c>
      <c r="F7" s="34">
        <f aca="true" t="shared" si="3" ref="F7:F19">E7*149.6</f>
        <v>208.84159999999997</v>
      </c>
      <c r="G7" s="35">
        <v>86</v>
      </c>
      <c r="H7" s="35">
        <v>11.95</v>
      </c>
      <c r="I7" s="35">
        <v>44</v>
      </c>
      <c r="K7" s="36"/>
    </row>
    <row r="8" spans="1:11" ht="12.75">
      <c r="A8" s="29">
        <f t="shared" si="0"/>
        <v>37412</v>
      </c>
      <c r="B8" s="30">
        <f t="shared" si="1"/>
        <v>156</v>
      </c>
      <c r="C8" s="31">
        <v>-4</v>
      </c>
      <c r="D8" s="32">
        <f t="shared" si="2"/>
        <v>119.453751902208</v>
      </c>
      <c r="E8" s="33">
        <v>1.275</v>
      </c>
      <c r="F8" s="34">
        <f t="shared" si="3"/>
        <v>190.73999999999998</v>
      </c>
      <c r="G8" s="35">
        <v>80</v>
      </c>
      <c r="H8" s="35">
        <v>13.09</v>
      </c>
      <c r="I8" s="35">
        <v>53</v>
      </c>
      <c r="K8" s="36"/>
    </row>
    <row r="9" spans="1:11" ht="12.75">
      <c r="A9" s="29">
        <f t="shared" si="0"/>
        <v>37432</v>
      </c>
      <c r="B9" s="30">
        <f t="shared" si="1"/>
        <v>176</v>
      </c>
      <c r="C9" s="31">
        <v>-4</v>
      </c>
      <c r="D9" s="32">
        <f t="shared" si="2"/>
        <v>119.453751902208</v>
      </c>
      <c r="E9" s="33">
        <v>1.138</v>
      </c>
      <c r="F9" s="34">
        <f t="shared" si="3"/>
        <v>170.24479999999997</v>
      </c>
      <c r="G9" s="35">
        <v>74</v>
      </c>
      <c r="H9" s="35">
        <v>14.67</v>
      </c>
      <c r="I9" s="35">
        <v>62</v>
      </c>
      <c r="K9" s="36"/>
    </row>
    <row r="10" spans="1:11" ht="12.75">
      <c r="A10" s="29">
        <f t="shared" si="0"/>
        <v>37452</v>
      </c>
      <c r="B10" s="30">
        <f t="shared" si="1"/>
        <v>196</v>
      </c>
      <c r="C10" s="31">
        <v>-4.1</v>
      </c>
      <c r="D10" s="32">
        <f t="shared" si="2"/>
        <v>130.97902658155527</v>
      </c>
      <c r="E10" s="33">
        <v>0.9880000000000002</v>
      </c>
      <c r="F10" s="34">
        <f t="shared" si="3"/>
        <v>147.80480000000003</v>
      </c>
      <c r="G10" s="35">
        <v>66</v>
      </c>
      <c r="H10" s="35">
        <v>16.88</v>
      </c>
      <c r="I10" s="35">
        <v>71</v>
      </c>
      <c r="K10" s="36"/>
    </row>
    <row r="11" spans="1:11" ht="12.75">
      <c r="A11" s="29">
        <f t="shared" si="0"/>
        <v>37472</v>
      </c>
      <c r="B11" s="30">
        <f t="shared" si="1"/>
        <v>216</v>
      </c>
      <c r="C11" s="31">
        <v>-4.2</v>
      </c>
      <c r="D11" s="32">
        <f t="shared" si="2"/>
        <v>143.61629610676695</v>
      </c>
      <c r="E11" s="33">
        <v>0.8309999999999998</v>
      </c>
      <c r="F11" s="34">
        <f t="shared" si="3"/>
        <v>124.31759999999997</v>
      </c>
      <c r="G11" s="35">
        <v>58</v>
      </c>
      <c r="H11" s="35">
        <v>20.08</v>
      </c>
      <c r="I11" s="35">
        <v>81</v>
      </c>
      <c r="K11" s="36"/>
    </row>
    <row r="12" spans="1:11" ht="12.75">
      <c r="A12" s="29">
        <f t="shared" si="0"/>
        <v>37492</v>
      </c>
      <c r="B12" s="30">
        <f t="shared" si="1"/>
        <v>236</v>
      </c>
      <c r="C12" s="31">
        <v>-4.3</v>
      </c>
      <c r="D12" s="32">
        <f t="shared" si="2"/>
        <v>157.47284924723277</v>
      </c>
      <c r="E12" s="33">
        <v>0.672</v>
      </c>
      <c r="F12" s="34">
        <f t="shared" si="3"/>
        <v>100.5312</v>
      </c>
      <c r="G12" s="35">
        <v>48</v>
      </c>
      <c r="H12" s="35">
        <v>24.84</v>
      </c>
      <c r="I12" s="35">
        <v>92</v>
      </c>
      <c r="K12" s="36"/>
    </row>
    <row r="13" spans="1:11" ht="12.75">
      <c r="A13" s="29">
        <f>A12+10</f>
        <v>37502</v>
      </c>
      <c r="B13" s="30">
        <f t="shared" si="1"/>
        <v>246</v>
      </c>
      <c r="C13" s="31">
        <v>-4.4</v>
      </c>
      <c r="D13" s="32">
        <f t="shared" si="2"/>
        <v>172.6663263311474</v>
      </c>
      <c r="E13" s="33">
        <v>0.5930000000000001</v>
      </c>
      <c r="F13" s="34">
        <f t="shared" si="3"/>
        <v>88.71280000000002</v>
      </c>
      <c r="G13" s="35">
        <v>42</v>
      </c>
      <c r="H13" s="35">
        <v>28.14</v>
      </c>
      <c r="I13" s="35">
        <v>99</v>
      </c>
      <c r="K13" s="36"/>
    </row>
    <row r="14" spans="1:11" ht="12.75">
      <c r="A14" s="29">
        <f>A12+20</f>
        <v>37512</v>
      </c>
      <c r="B14" s="30">
        <f t="shared" si="1"/>
        <v>256</v>
      </c>
      <c r="C14" s="37">
        <v>-4.5</v>
      </c>
      <c r="D14" s="32">
        <f t="shared" si="2"/>
        <v>189.32571799654642</v>
      </c>
      <c r="E14" s="33">
        <v>0.516</v>
      </c>
      <c r="F14" s="34">
        <f t="shared" si="3"/>
        <v>77.1936</v>
      </c>
      <c r="G14" s="35">
        <v>36</v>
      </c>
      <c r="H14" s="35">
        <v>32.31</v>
      </c>
      <c r="I14" s="38">
        <v>107</v>
      </c>
      <c r="K14" s="36"/>
    </row>
    <row r="15" spans="1:11" ht="12.75">
      <c r="A15" s="39">
        <f>A13+20</f>
        <v>37522</v>
      </c>
      <c r="B15" s="40">
        <f t="shared" si="1"/>
        <v>266</v>
      </c>
      <c r="C15" s="41">
        <v>-4.6</v>
      </c>
      <c r="D15" s="42">
        <f t="shared" si="2"/>
        <v>207.59246030499384</v>
      </c>
      <c r="E15" s="43">
        <v>0.443</v>
      </c>
      <c r="F15" s="44">
        <f t="shared" si="3"/>
        <v>66.2728</v>
      </c>
      <c r="G15" s="45">
        <v>28</v>
      </c>
      <c r="H15" s="45">
        <v>37.63</v>
      </c>
      <c r="I15" s="45">
        <v>116</v>
      </c>
      <c r="K15" s="36"/>
    </row>
    <row r="16" spans="1:11" ht="12.75">
      <c r="A16" s="39">
        <f>A14+20</f>
        <v>37532</v>
      </c>
      <c r="B16" s="40">
        <f t="shared" si="1"/>
        <v>276</v>
      </c>
      <c r="C16" s="41">
        <v>-4.6</v>
      </c>
      <c r="D16" s="42">
        <f t="shared" si="2"/>
        <v>207.59246030499384</v>
      </c>
      <c r="E16" s="43">
        <v>0.377</v>
      </c>
      <c r="F16" s="44">
        <f t="shared" si="3"/>
        <v>56.3992</v>
      </c>
      <c r="G16" s="45">
        <v>20</v>
      </c>
      <c r="H16" s="45">
        <v>44.26</v>
      </c>
      <c r="I16" s="45">
        <v>127</v>
      </c>
      <c r="K16" s="36"/>
    </row>
    <row r="17" spans="1:11" ht="12.75">
      <c r="A17" s="29">
        <f>A15+20</f>
        <v>37542</v>
      </c>
      <c r="B17" s="30">
        <f t="shared" si="1"/>
        <v>286</v>
      </c>
      <c r="C17" s="31">
        <v>-4.5</v>
      </c>
      <c r="D17" s="32">
        <f t="shared" si="2"/>
        <v>189.32571799654642</v>
      </c>
      <c r="E17" s="33">
        <v>0.321</v>
      </c>
      <c r="F17" s="34">
        <f t="shared" si="3"/>
        <v>48.0216</v>
      </c>
      <c r="G17" s="35">
        <v>11</v>
      </c>
      <c r="H17" s="35">
        <v>51.92</v>
      </c>
      <c r="I17" s="35">
        <v>142</v>
      </c>
      <c r="K17" s="36"/>
    </row>
    <row r="18" spans="1:11" ht="12.75">
      <c r="A18" s="29">
        <f>A16+20</f>
        <v>37552</v>
      </c>
      <c r="B18" s="30">
        <f t="shared" si="1"/>
        <v>296</v>
      </c>
      <c r="C18" s="31">
        <v>-4.3</v>
      </c>
      <c r="D18" s="32">
        <f t="shared" si="2"/>
        <v>157.47284924723277</v>
      </c>
      <c r="E18" s="33">
        <v>0.28300000000000003</v>
      </c>
      <c r="F18" s="34">
        <f t="shared" si="3"/>
        <v>42.336800000000004</v>
      </c>
      <c r="G18" s="35">
        <v>3</v>
      </c>
      <c r="H18" s="35">
        <v>58.87</v>
      </c>
      <c r="I18" s="35">
        <v>159</v>
      </c>
      <c r="K18" s="36"/>
    </row>
    <row r="19" spans="1:11" ht="15">
      <c r="A19" s="46">
        <v>37560</v>
      </c>
      <c r="B19" s="47">
        <f t="shared" si="1"/>
        <v>304</v>
      </c>
      <c r="C19" s="48" t="s">
        <v>17</v>
      </c>
      <c r="D19" s="48"/>
      <c r="E19" s="49">
        <v>0.27</v>
      </c>
      <c r="F19" s="50">
        <f t="shared" si="3"/>
        <v>40.392</v>
      </c>
      <c r="G19" s="51">
        <v>0</v>
      </c>
      <c r="H19" s="52">
        <v>62.2</v>
      </c>
      <c r="I19" s="53">
        <v>180</v>
      </c>
      <c r="K19" s="36"/>
    </row>
    <row r="20" spans="1:12" ht="15">
      <c r="A20" s="54"/>
      <c r="B20" s="55"/>
      <c r="C20" s="55"/>
      <c r="D20" s="55"/>
      <c r="E20" s="55"/>
      <c r="L20" s="56"/>
    </row>
    <row r="21" ht="15"/>
    <row r="22" ht="15">
      <c r="L22" s="57"/>
    </row>
    <row r="23" ht="15">
      <c r="L23" s="57"/>
    </row>
    <row r="24" ht="15">
      <c r="L24" s="57"/>
    </row>
    <row r="25" ht="15">
      <c r="L25" s="57"/>
    </row>
    <row r="26" ht="15">
      <c r="L26" s="57"/>
    </row>
    <row r="27" ht="15">
      <c r="L27" s="57"/>
    </row>
    <row r="28" ht="15">
      <c r="L28" s="57"/>
    </row>
    <row r="29" ht="15">
      <c r="L29" s="57"/>
    </row>
    <row r="30" ht="15">
      <c r="L30" s="57"/>
    </row>
    <row r="31" ht="15">
      <c r="L31" s="57"/>
    </row>
    <row r="32" ht="15">
      <c r="L32" s="57"/>
    </row>
    <row r="33" ht="15">
      <c r="L33" s="57"/>
    </row>
    <row r="34" ht="15">
      <c r="L34" s="57"/>
    </row>
    <row r="35" ht="15">
      <c r="L35" s="57"/>
    </row>
    <row r="36" ht="15">
      <c r="L36" s="57"/>
    </row>
    <row r="37" ht="15">
      <c r="L37" s="57"/>
    </row>
    <row r="38" ht="15">
      <c r="L38" s="57"/>
    </row>
    <row r="39" ht="15"/>
    <row r="40" ht="15"/>
    <row r="41" ht="12.75">
      <c r="L41" s="57"/>
    </row>
    <row r="42" ht="12.75">
      <c r="L42" s="57"/>
    </row>
    <row r="43" ht="12.75">
      <c r="L43" s="57"/>
    </row>
    <row r="44" ht="12.75">
      <c r="L44" s="57"/>
    </row>
    <row r="45" spans="1:12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L45" s="57"/>
    </row>
    <row r="46" spans="1:12" ht="12.75">
      <c r="A46" s="59"/>
      <c r="B46" s="60"/>
      <c r="C46" s="61"/>
      <c r="D46" s="62"/>
      <c r="E46" s="62"/>
      <c r="F46" s="59"/>
      <c r="G46" s="59"/>
      <c r="H46" s="63"/>
      <c r="I46" s="59"/>
      <c r="J46" s="63"/>
      <c r="L46" s="57"/>
    </row>
    <row r="47" spans="1:12" ht="12.75">
      <c r="A47" s="59"/>
      <c r="B47" s="60"/>
      <c r="C47" s="61"/>
      <c r="D47" s="62"/>
      <c r="E47" s="62"/>
      <c r="F47" s="59"/>
      <c r="G47" s="59"/>
      <c r="H47" s="63"/>
      <c r="I47" s="59"/>
      <c r="J47" s="63"/>
      <c r="K47" s="64"/>
      <c r="L47" s="57"/>
    </row>
    <row r="48" spans="1:12" ht="12.75">
      <c r="A48" s="59"/>
      <c r="B48" s="60"/>
      <c r="C48" s="61"/>
      <c r="D48" s="62"/>
      <c r="E48" s="62"/>
      <c r="F48" s="59"/>
      <c r="G48" s="59"/>
      <c r="H48" s="63"/>
      <c r="I48" s="59"/>
      <c r="J48" s="63"/>
      <c r="K48" s="64"/>
      <c r="L48" s="57"/>
    </row>
    <row r="49" spans="1:12" ht="12.75">
      <c r="A49" s="59"/>
      <c r="B49" s="60"/>
      <c r="C49" s="61"/>
      <c r="D49" s="62"/>
      <c r="E49" s="62"/>
      <c r="F49" s="59"/>
      <c r="G49" s="59"/>
      <c r="H49" s="63"/>
      <c r="I49" s="59"/>
      <c r="J49" s="63"/>
      <c r="K49" s="65"/>
      <c r="L49" s="57"/>
    </row>
    <row r="50" spans="1:12" ht="12.75">
      <c r="A50" s="59"/>
      <c r="B50" s="60"/>
      <c r="C50" s="61"/>
      <c r="D50" s="62"/>
      <c r="E50" s="62"/>
      <c r="F50" s="59"/>
      <c r="G50" s="59"/>
      <c r="H50" s="63"/>
      <c r="I50" s="59"/>
      <c r="J50" s="63"/>
      <c r="K50" s="64"/>
      <c r="L50" s="57"/>
    </row>
    <row r="51" spans="1:12" ht="12.75">
      <c r="A51" s="59"/>
      <c r="B51" s="60"/>
      <c r="C51" s="61"/>
      <c r="D51" s="62"/>
      <c r="E51" s="62"/>
      <c r="F51" s="59"/>
      <c r="G51" s="59"/>
      <c r="H51" s="63"/>
      <c r="I51" s="59"/>
      <c r="J51" s="63"/>
      <c r="K51" s="64"/>
      <c r="L51" s="57"/>
    </row>
    <row r="52" spans="1:12" ht="12.75">
      <c r="A52" s="59"/>
      <c r="B52" s="60"/>
      <c r="C52" s="61"/>
      <c r="D52" s="62"/>
      <c r="E52" s="62"/>
      <c r="F52" s="59"/>
      <c r="G52" s="59"/>
      <c r="H52" s="63"/>
      <c r="I52" s="59"/>
      <c r="J52" s="63"/>
      <c r="K52" s="64"/>
      <c r="L52" s="57"/>
    </row>
    <row r="53" spans="1:12" ht="12.75">
      <c r="A53" s="59"/>
      <c r="B53" s="60"/>
      <c r="C53" s="61"/>
      <c r="D53" s="62"/>
      <c r="E53" s="62"/>
      <c r="F53" s="59"/>
      <c r="G53" s="59"/>
      <c r="H53" s="63"/>
      <c r="I53" s="59"/>
      <c r="J53" s="63"/>
      <c r="K53" s="64"/>
      <c r="L53" s="57"/>
    </row>
    <row r="54" spans="1:11" ht="12.75">
      <c r="A54" s="59"/>
      <c r="B54" s="60"/>
      <c r="C54" s="61"/>
      <c r="D54" s="62"/>
      <c r="E54" s="62"/>
      <c r="F54" s="59"/>
      <c r="G54" s="59"/>
      <c r="H54" s="63"/>
      <c r="I54" s="59"/>
      <c r="J54" s="63"/>
      <c r="K54" s="64"/>
    </row>
    <row r="55" spans="1:11" ht="12.75">
      <c r="A55" s="59"/>
      <c r="B55" s="60"/>
      <c r="C55" s="61"/>
      <c r="D55" s="62"/>
      <c r="E55" s="62"/>
      <c r="F55" s="59"/>
      <c r="G55" s="59"/>
      <c r="H55" s="63"/>
      <c r="I55" s="59"/>
      <c r="J55" s="63"/>
      <c r="K55" s="64"/>
    </row>
    <row r="56" spans="1:11" ht="12.75">
      <c r="A56" s="59"/>
      <c r="B56" s="60"/>
      <c r="C56" s="61"/>
      <c r="D56" s="62"/>
      <c r="E56" s="62"/>
      <c r="F56" s="59"/>
      <c r="G56" s="59"/>
      <c r="H56" s="63"/>
      <c r="I56" s="59"/>
      <c r="J56" s="63"/>
      <c r="K56" s="64"/>
    </row>
    <row r="57" spans="1:11" ht="12.75">
      <c r="A57" s="59"/>
      <c r="B57" s="60"/>
      <c r="C57" s="61"/>
      <c r="D57" s="62"/>
      <c r="E57" s="62"/>
      <c r="F57" s="66"/>
      <c r="G57" s="59"/>
      <c r="H57" s="63"/>
      <c r="I57" s="59"/>
      <c r="J57" s="63"/>
      <c r="K57" s="64"/>
    </row>
    <row r="58" spans="1:11" ht="12.75">
      <c r="A58" s="59"/>
      <c r="B58" s="60"/>
      <c r="C58" s="61"/>
      <c r="D58" s="62"/>
      <c r="E58" s="62"/>
      <c r="F58" s="66"/>
      <c r="G58" s="59"/>
      <c r="H58" s="63"/>
      <c r="I58" s="59"/>
      <c r="J58" s="63"/>
      <c r="K58" s="64"/>
    </row>
    <row r="59" spans="1:11" ht="12.75">
      <c r="A59" s="59"/>
      <c r="B59" s="60"/>
      <c r="C59" s="61"/>
      <c r="D59" s="62"/>
      <c r="E59" s="62"/>
      <c r="F59" s="66"/>
      <c r="G59" s="59"/>
      <c r="H59" s="63"/>
      <c r="I59" s="59"/>
      <c r="J59" s="63"/>
      <c r="K59" s="64"/>
    </row>
    <row r="60" spans="1:11" ht="12.75">
      <c r="A60" s="59"/>
      <c r="B60" s="60"/>
      <c r="C60" s="61"/>
      <c r="D60" s="62"/>
      <c r="E60" s="62"/>
      <c r="F60" s="66"/>
      <c r="G60" s="59"/>
      <c r="H60" s="63"/>
      <c r="I60" s="59"/>
      <c r="J60" s="63"/>
      <c r="K60" s="64"/>
    </row>
    <row r="61" spans="1:11" ht="12.75">
      <c r="A61" s="59"/>
      <c r="B61" s="60"/>
      <c r="C61" s="61"/>
      <c r="D61" s="62"/>
      <c r="E61" s="62"/>
      <c r="F61" s="66"/>
      <c r="G61" s="59"/>
      <c r="H61" s="63"/>
      <c r="I61" s="59"/>
      <c r="J61" s="63"/>
      <c r="K61" s="64"/>
    </row>
    <row r="62" spans="1:11" ht="12.75">
      <c r="A62" s="59"/>
      <c r="B62" s="60"/>
      <c r="C62" s="61"/>
      <c r="D62" s="62"/>
      <c r="E62" s="62"/>
      <c r="F62" s="66"/>
      <c r="G62" s="59"/>
      <c r="H62" s="63"/>
      <c r="I62" s="59"/>
      <c r="J62" s="63"/>
      <c r="K62" s="64"/>
    </row>
    <row r="63" spans="1:11" ht="12.75">
      <c r="A63" s="59"/>
      <c r="B63" s="60"/>
      <c r="C63" s="61"/>
      <c r="D63" s="62"/>
      <c r="E63" s="62"/>
      <c r="F63" s="66"/>
      <c r="G63" s="59"/>
      <c r="H63" s="63"/>
      <c r="I63" s="59"/>
      <c r="J63" s="63"/>
      <c r="K63" s="64"/>
    </row>
    <row r="64" spans="1:11" ht="12.75">
      <c r="A64" s="59"/>
      <c r="B64" s="60"/>
      <c r="C64" s="61"/>
      <c r="D64" s="62"/>
      <c r="E64" s="62"/>
      <c r="F64" s="66"/>
      <c r="G64" s="59"/>
      <c r="H64" s="63"/>
      <c r="I64" s="59"/>
      <c r="J64" s="63"/>
      <c r="K64" s="64"/>
    </row>
    <row r="65" spans="1:11" ht="12.75">
      <c r="A65" s="59"/>
      <c r="B65" s="60"/>
      <c r="C65" s="61"/>
      <c r="D65" s="62"/>
      <c r="E65" s="62"/>
      <c r="F65" s="66"/>
      <c r="G65" s="59"/>
      <c r="H65" s="63"/>
      <c r="I65" s="59"/>
      <c r="J65" s="63"/>
      <c r="K65" s="64"/>
    </row>
    <row r="66" spans="1:11" ht="12.75">
      <c r="A66" s="59"/>
      <c r="B66" s="60"/>
      <c r="C66" s="61"/>
      <c r="D66" s="62"/>
      <c r="E66" s="62"/>
      <c r="F66" s="66"/>
      <c r="G66" s="59"/>
      <c r="H66" s="63"/>
      <c r="I66" s="59"/>
      <c r="J66" s="63"/>
      <c r="K66" s="64"/>
    </row>
    <row r="67" spans="1:11" ht="12.75">
      <c r="A67" s="59"/>
      <c r="B67" s="60"/>
      <c r="C67" s="61"/>
      <c r="D67" s="59"/>
      <c r="E67" s="59"/>
      <c r="F67" s="66"/>
      <c r="G67" s="59"/>
      <c r="H67" s="63"/>
      <c r="I67" s="59"/>
      <c r="J67" s="63"/>
      <c r="K67" s="64"/>
    </row>
    <row r="68" spans="1:11" ht="12.75">
      <c r="A68" s="59"/>
      <c r="B68" s="60"/>
      <c r="C68" s="61"/>
      <c r="D68" s="59"/>
      <c r="E68" s="59"/>
      <c r="F68" s="59"/>
      <c r="G68" s="59"/>
      <c r="H68" s="63"/>
      <c r="I68" s="59"/>
      <c r="J68" s="63"/>
      <c r="K68" s="64"/>
    </row>
    <row r="69" ht="12.75">
      <c r="K69" s="67"/>
    </row>
  </sheetData>
  <mergeCells count="6">
    <mergeCell ref="A1:G1"/>
    <mergeCell ref="B2:D2"/>
    <mergeCell ref="C3:D3"/>
    <mergeCell ref="E3:F3"/>
    <mergeCell ref="J4:K4"/>
    <mergeCell ref="C19:D19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0">
      <selection activeCell="Q26" sqref="Q26"/>
    </sheetView>
  </sheetViews>
  <sheetFormatPr defaultColWidth="11.421875" defaultRowHeight="12.75"/>
  <cols>
    <col min="1" max="2" width="8.00390625" style="1" customWidth="1"/>
    <col min="3" max="3" width="6.8515625" style="1" customWidth="1"/>
    <col min="4" max="4" width="7.00390625" style="1" customWidth="1"/>
    <col min="5" max="5" width="6.00390625" style="1" customWidth="1"/>
    <col min="6" max="6" width="5.8515625" style="1" customWidth="1"/>
    <col min="7" max="7" width="6.421875" style="1" customWidth="1"/>
    <col min="8" max="11" width="7.57421875" style="1" customWidth="1"/>
    <col min="12" max="15" width="10.57421875" style="1" customWidth="1"/>
    <col min="16" max="16" width="1.57421875" style="1" customWidth="1"/>
    <col min="17" max="16384" width="10.57421875" style="1" customWidth="1"/>
  </cols>
  <sheetData>
    <row r="1" spans="1:15" ht="14.2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59"/>
      <c r="L1" s="59"/>
      <c r="M1" s="59"/>
      <c r="N1" s="59"/>
      <c r="O1" s="59"/>
    </row>
    <row r="2" spans="11:15" ht="12.75">
      <c r="K2" s="69"/>
      <c r="L2" s="69"/>
      <c r="M2" s="69"/>
      <c r="N2" s="70"/>
      <c r="O2" s="70"/>
    </row>
    <row r="3" spans="1:15" ht="18.75">
      <c r="A3" s="71" t="s">
        <v>2</v>
      </c>
      <c r="B3" s="72" t="s">
        <v>3</v>
      </c>
      <c r="C3" s="73" t="s">
        <v>19</v>
      </c>
      <c r="D3" s="74" t="s">
        <v>20</v>
      </c>
      <c r="E3" s="75" t="s">
        <v>21</v>
      </c>
      <c r="F3" s="74" t="s">
        <v>22</v>
      </c>
      <c r="G3" s="75" t="s">
        <v>23</v>
      </c>
      <c r="H3" s="74" t="s">
        <v>24</v>
      </c>
      <c r="I3" s="75" t="s">
        <v>25</v>
      </c>
      <c r="J3" s="74" t="s">
        <v>26</v>
      </c>
      <c r="K3" s="70"/>
      <c r="L3" s="70"/>
      <c r="M3" s="70"/>
      <c r="N3" s="70"/>
      <c r="O3" s="70"/>
    </row>
    <row r="4" spans="1:15" ht="12.75">
      <c r="A4" s="76"/>
      <c r="B4" s="15" t="s">
        <v>27</v>
      </c>
      <c r="C4" s="77" t="s">
        <v>28</v>
      </c>
      <c r="D4" s="78" t="s">
        <v>28</v>
      </c>
      <c r="E4" s="77" t="s">
        <v>29</v>
      </c>
      <c r="F4" s="78" t="s">
        <v>29</v>
      </c>
      <c r="G4" s="77" t="s">
        <v>28</v>
      </c>
      <c r="H4" s="78" t="s">
        <v>28</v>
      </c>
      <c r="I4" s="77" t="s">
        <v>29</v>
      </c>
      <c r="J4" s="78" t="s">
        <v>29</v>
      </c>
      <c r="K4" s="70"/>
      <c r="L4" s="70"/>
      <c r="N4" s="70"/>
      <c r="O4" s="70"/>
    </row>
    <row r="5" spans="1:15" ht="12.75">
      <c r="A5" s="21">
        <v>37352</v>
      </c>
      <c r="B5" s="79">
        <f>A5-$A$5+96</f>
        <v>96</v>
      </c>
      <c r="C5" s="80">
        <v>16.02</v>
      </c>
      <c r="D5" s="81">
        <f>C5-180</f>
        <v>-163.98</v>
      </c>
      <c r="E5" s="80">
        <f>1*COS(RADIANS(D5))</f>
        <v>-0.9611654217888519</v>
      </c>
      <c r="F5" s="82">
        <f>1*SIN(RADIANS(D5))</f>
        <v>-0.27597288264874575</v>
      </c>
      <c r="G5" s="80">
        <v>63.84</v>
      </c>
      <c r="H5" s="82">
        <f>G5</f>
        <v>63.84</v>
      </c>
      <c r="I5" s="25">
        <f>0.725*COS(RADIANS(H5))</f>
        <v>0.3196375220355275</v>
      </c>
      <c r="J5" s="82">
        <f>0.725*SIN(RADIANS(H5))</f>
        <v>0.6507356256629782</v>
      </c>
      <c r="K5" s="70"/>
      <c r="L5" s="70"/>
      <c r="M5" s="70"/>
      <c r="N5" s="70"/>
      <c r="O5" s="70"/>
    </row>
    <row r="6" spans="1:15" ht="12.75">
      <c r="A6" s="29">
        <f aca="true" t="shared" si="0" ref="A6:A12">A5+20</f>
        <v>37372</v>
      </c>
      <c r="B6" s="79">
        <f aca="true" t="shared" si="1" ref="B6:B20">A6-$A$5+96</f>
        <v>116</v>
      </c>
      <c r="C6" s="83">
        <v>35.6</v>
      </c>
      <c r="D6" s="64">
        <f>C6-180</f>
        <v>-144.4</v>
      </c>
      <c r="E6" s="84"/>
      <c r="F6" s="85"/>
      <c r="G6" s="83">
        <v>96.1</v>
      </c>
      <c r="H6" s="85">
        <f aca="true" t="shared" si="2" ref="H6:H16">G6-(D6-$D$5)</f>
        <v>76.52000000000001</v>
      </c>
      <c r="I6" s="33">
        <f>0.725*COS(RADIANS(H6))</f>
        <v>0.16900179816781247</v>
      </c>
      <c r="J6" s="85">
        <f>0.725*SIN(RADIANS(H6))</f>
        <v>0.7050272279962284</v>
      </c>
      <c r="K6" s="70"/>
      <c r="L6" s="70"/>
      <c r="M6" s="70"/>
      <c r="N6" s="63"/>
      <c r="O6" s="70"/>
    </row>
    <row r="7" spans="1:15" ht="12.75">
      <c r="A7" s="29">
        <f t="shared" si="0"/>
        <v>37392</v>
      </c>
      <c r="B7" s="79">
        <f t="shared" si="1"/>
        <v>136</v>
      </c>
      <c r="C7" s="83">
        <v>54.97</v>
      </c>
      <c r="D7" s="64">
        <f aca="true" t="shared" si="3" ref="D7:D20">C7-180</f>
        <v>-125.03</v>
      </c>
      <c r="E7" s="84"/>
      <c r="F7" s="85"/>
      <c r="G7" s="83">
        <v>128.54</v>
      </c>
      <c r="H7" s="85">
        <f t="shared" si="2"/>
        <v>89.59</v>
      </c>
      <c r="I7" s="33">
        <f aca="true" t="shared" si="4" ref="I7:I20">0.725*COS(RADIANS(H7))</f>
        <v>0.005187946925457518</v>
      </c>
      <c r="J7" s="85">
        <f aca="true" t="shared" si="5" ref="J7:J20">0.725*SIN(RADIANS(H7))</f>
        <v>0.7249814378359618</v>
      </c>
      <c r="K7" s="70"/>
      <c r="L7" s="70"/>
      <c r="M7" s="70"/>
      <c r="N7" s="70"/>
      <c r="O7" s="70"/>
    </row>
    <row r="8" spans="1:15" ht="12.75">
      <c r="A8" s="29">
        <f t="shared" si="0"/>
        <v>37412</v>
      </c>
      <c r="B8" s="79">
        <f t="shared" si="1"/>
        <v>156</v>
      </c>
      <c r="C8" s="83">
        <v>74.18</v>
      </c>
      <c r="D8" s="64">
        <f t="shared" si="3"/>
        <v>-105.82</v>
      </c>
      <c r="E8" s="86" t="s">
        <v>30</v>
      </c>
      <c r="F8" s="86"/>
      <c r="G8" s="83">
        <v>161.04</v>
      </c>
      <c r="H8" s="85">
        <f t="shared" si="2"/>
        <v>102.88</v>
      </c>
      <c r="I8" s="33">
        <f t="shared" si="4"/>
        <v>-0.16160963876433768</v>
      </c>
      <c r="J8" s="85">
        <f t="shared" si="5"/>
        <v>0.7067583212516569</v>
      </c>
      <c r="K8" s="70"/>
      <c r="L8" s="70"/>
      <c r="M8" s="70"/>
      <c r="N8" s="70"/>
      <c r="O8" s="70"/>
    </row>
    <row r="9" spans="1:15" ht="12.75">
      <c r="A9" s="29">
        <f t="shared" si="0"/>
        <v>37432</v>
      </c>
      <c r="B9" s="79">
        <f t="shared" si="1"/>
        <v>176</v>
      </c>
      <c r="C9" s="83">
        <v>93.29</v>
      </c>
      <c r="D9" s="64">
        <f t="shared" si="3"/>
        <v>-86.71</v>
      </c>
      <c r="E9" s="84"/>
      <c r="F9" s="85"/>
      <c r="G9" s="83">
        <v>193.44</v>
      </c>
      <c r="H9" s="85">
        <f t="shared" si="2"/>
        <v>116.17</v>
      </c>
      <c r="I9" s="33">
        <f t="shared" si="4"/>
        <v>-0.31975109195887136</v>
      </c>
      <c r="J9" s="85">
        <f t="shared" si="5"/>
        <v>0.6506798284802667</v>
      </c>
      <c r="K9" s="70"/>
      <c r="L9" s="70"/>
      <c r="M9" s="87"/>
      <c r="N9" s="70"/>
      <c r="O9" s="70"/>
    </row>
    <row r="10" spans="1:15" ht="12.75">
      <c r="A10" s="29">
        <f t="shared" si="0"/>
        <v>37452</v>
      </c>
      <c r="B10" s="79">
        <f t="shared" si="1"/>
        <v>196</v>
      </c>
      <c r="C10" s="83">
        <v>112.36</v>
      </c>
      <c r="D10" s="64">
        <f t="shared" si="3"/>
        <v>-67.64</v>
      </c>
      <c r="E10" s="86" t="s">
        <v>31</v>
      </c>
      <c r="F10" s="86"/>
      <c r="G10" s="83">
        <v>225.57</v>
      </c>
      <c r="H10" s="85">
        <f t="shared" si="2"/>
        <v>129.23000000000002</v>
      </c>
      <c r="I10" s="33">
        <f t="shared" si="4"/>
        <v>-0.45851535759604445</v>
      </c>
      <c r="J10" s="85">
        <f t="shared" si="5"/>
        <v>0.5615947532238628</v>
      </c>
      <c r="K10" s="70"/>
      <c r="L10" s="70"/>
      <c r="M10" s="70"/>
      <c r="N10" s="70"/>
      <c r="O10" s="70"/>
    </row>
    <row r="11" spans="1:15" ht="12.75">
      <c r="A11" s="29">
        <f t="shared" si="0"/>
        <v>37472</v>
      </c>
      <c r="B11" s="79">
        <f t="shared" si="1"/>
        <v>216</v>
      </c>
      <c r="C11" s="83">
        <v>131.46</v>
      </c>
      <c r="D11" s="64">
        <f t="shared" si="3"/>
        <v>-48.53999999999999</v>
      </c>
      <c r="E11" s="84"/>
      <c r="F11" s="85"/>
      <c r="G11" s="83">
        <v>257.43</v>
      </c>
      <c r="H11" s="85">
        <f t="shared" si="2"/>
        <v>141.99</v>
      </c>
      <c r="I11" s="33">
        <f t="shared" si="4"/>
        <v>-0.5712298840950434</v>
      </c>
      <c r="J11" s="85">
        <f t="shared" si="5"/>
        <v>0.4464542748331158</v>
      </c>
      <c r="K11" s="70"/>
      <c r="L11" s="70"/>
      <c r="M11" s="70"/>
      <c r="N11" s="70"/>
      <c r="O11" s="70"/>
    </row>
    <row r="12" spans="1:15" ht="12.75">
      <c r="A12" s="29">
        <f t="shared" si="0"/>
        <v>37492</v>
      </c>
      <c r="B12" s="79">
        <f t="shared" si="1"/>
        <v>236</v>
      </c>
      <c r="C12" s="83">
        <v>150.68</v>
      </c>
      <c r="D12" s="64">
        <f t="shared" si="3"/>
        <v>-29.319999999999993</v>
      </c>
      <c r="E12" s="86" t="s">
        <v>32</v>
      </c>
      <c r="F12" s="86"/>
      <c r="G12" s="83">
        <v>289.09</v>
      </c>
      <c r="H12" s="85">
        <f t="shared" si="2"/>
        <v>154.42999999999998</v>
      </c>
      <c r="I12" s="33">
        <f t="shared" si="4"/>
        <v>-0.6539925156983497</v>
      </c>
      <c r="J12" s="85">
        <f t="shared" si="5"/>
        <v>0.3129197811109801</v>
      </c>
      <c r="K12" s="70"/>
      <c r="L12" s="70"/>
      <c r="M12" s="70"/>
      <c r="N12" s="70"/>
      <c r="O12" s="70"/>
    </row>
    <row r="13" spans="1:15" ht="12.75">
      <c r="A13" s="29">
        <f>A12+10</f>
        <v>37502</v>
      </c>
      <c r="B13" s="79">
        <f t="shared" si="1"/>
        <v>246</v>
      </c>
      <c r="C13" s="83">
        <v>160.34</v>
      </c>
      <c r="D13" s="64">
        <f t="shared" si="3"/>
        <v>-19.659999999999997</v>
      </c>
      <c r="E13" s="84"/>
      <c r="F13" s="85"/>
      <c r="G13" s="83">
        <v>304.9</v>
      </c>
      <c r="H13" s="85">
        <f t="shared" si="2"/>
        <v>160.57999999999998</v>
      </c>
      <c r="I13" s="33">
        <f t="shared" si="4"/>
        <v>-0.6837523244237419</v>
      </c>
      <c r="J13" s="85">
        <f t="shared" si="5"/>
        <v>0.2410555098833667</v>
      </c>
      <c r="K13" s="70"/>
      <c r="L13" s="70"/>
      <c r="M13" s="70"/>
      <c r="N13" s="70"/>
      <c r="O13" s="70"/>
    </row>
    <row r="14" spans="1:15" ht="12.75">
      <c r="A14" s="29">
        <f>A12+20</f>
        <v>37512</v>
      </c>
      <c r="B14" s="79">
        <f t="shared" si="1"/>
        <v>256</v>
      </c>
      <c r="C14" s="83">
        <v>170.05</v>
      </c>
      <c r="D14" s="64">
        <f t="shared" si="3"/>
        <v>-9.949999999999989</v>
      </c>
      <c r="E14" s="84"/>
      <c r="F14" s="85"/>
      <c r="G14" s="83">
        <v>320.72</v>
      </c>
      <c r="H14" s="85">
        <f t="shared" si="2"/>
        <v>166.69000000000003</v>
      </c>
      <c r="I14" s="33">
        <f t="shared" si="4"/>
        <v>-0.7055255623584843</v>
      </c>
      <c r="J14" s="85">
        <f t="shared" si="5"/>
        <v>0.166909199443124</v>
      </c>
      <c r="K14" s="70"/>
      <c r="L14" s="70"/>
      <c r="M14" s="70"/>
      <c r="N14" s="70"/>
      <c r="O14" s="70"/>
    </row>
    <row r="15" spans="1:15" ht="12.75">
      <c r="A15" s="29">
        <f>A13+20</f>
        <v>37522</v>
      </c>
      <c r="B15" s="79">
        <f t="shared" si="1"/>
        <v>266</v>
      </c>
      <c r="C15" s="83">
        <v>179.8</v>
      </c>
      <c r="D15" s="64">
        <f t="shared" si="3"/>
        <v>-0.19999999999998863</v>
      </c>
      <c r="E15" s="88"/>
      <c r="F15" s="89"/>
      <c r="G15" s="83">
        <v>336.56</v>
      </c>
      <c r="H15" s="85">
        <f t="shared" si="2"/>
        <v>172.78</v>
      </c>
      <c r="I15" s="33">
        <f t="shared" si="4"/>
        <v>-0.719251396207381</v>
      </c>
      <c r="J15" s="85">
        <f t="shared" si="5"/>
        <v>0.09111766598049514</v>
      </c>
      <c r="K15" s="70"/>
      <c r="L15" s="70"/>
      <c r="M15" s="70"/>
      <c r="N15" s="70"/>
      <c r="O15" s="70"/>
    </row>
    <row r="16" spans="1:15" ht="12.75">
      <c r="A16" s="90">
        <v>37527</v>
      </c>
      <c r="B16" s="91">
        <f t="shared" si="1"/>
        <v>271</v>
      </c>
      <c r="C16" s="92">
        <v>184.7</v>
      </c>
      <c r="D16" s="93">
        <f t="shared" si="3"/>
        <v>4.699999999999989</v>
      </c>
      <c r="E16" s="94"/>
      <c r="F16" s="95"/>
      <c r="G16" s="96">
        <f>G15+(G17-G15)*0.5</f>
        <v>344.49</v>
      </c>
      <c r="H16" s="95">
        <f t="shared" si="2"/>
        <v>175.81000000000003</v>
      </c>
      <c r="I16" s="97">
        <f t="shared" si="4"/>
        <v>-0.7230622522706244</v>
      </c>
      <c r="J16" s="95">
        <f t="shared" si="5"/>
        <v>0.0529714955549853</v>
      </c>
      <c r="K16" s="98" t="s">
        <v>33</v>
      </c>
      <c r="L16" s="99" t="s">
        <v>34</v>
      </c>
      <c r="M16" s="70"/>
      <c r="N16" s="70"/>
      <c r="O16" s="70"/>
    </row>
    <row r="17" spans="1:15" ht="12.75">
      <c r="A17" s="29">
        <f>A14+20</f>
        <v>37532</v>
      </c>
      <c r="B17" s="79">
        <f t="shared" si="1"/>
        <v>276</v>
      </c>
      <c r="C17" s="83">
        <v>189.62</v>
      </c>
      <c r="D17" s="64">
        <f t="shared" si="3"/>
        <v>9.620000000000005</v>
      </c>
      <c r="E17" s="88"/>
      <c r="F17" s="89"/>
      <c r="G17" s="83">
        <v>352.42</v>
      </c>
      <c r="H17" s="85">
        <f>G17-(D17-$D$5)</f>
        <v>178.82000000000002</v>
      </c>
      <c r="I17" s="33">
        <f t="shared" si="4"/>
        <v>-0.7248462513149314</v>
      </c>
      <c r="J17" s="85">
        <f t="shared" si="5"/>
        <v>0.01493023625705019</v>
      </c>
      <c r="K17" s="70"/>
      <c r="L17" s="70"/>
      <c r="M17" s="70"/>
      <c r="N17" s="70"/>
      <c r="O17" s="70"/>
    </row>
    <row r="18" spans="1:15" ht="12.75">
      <c r="A18" s="29">
        <f>A15+20</f>
        <v>37542</v>
      </c>
      <c r="B18" s="79">
        <f t="shared" si="1"/>
        <v>286</v>
      </c>
      <c r="C18" s="83">
        <v>199.49</v>
      </c>
      <c r="D18" s="64">
        <f t="shared" si="3"/>
        <v>19.49000000000001</v>
      </c>
      <c r="E18" s="84"/>
      <c r="F18" s="85"/>
      <c r="G18" s="83">
        <v>8.33</v>
      </c>
      <c r="H18" s="85">
        <f>G18-(D18-$D$5)+360</f>
        <v>184.86</v>
      </c>
      <c r="I18" s="33">
        <f t="shared" si="4"/>
        <v>-0.7223933970923294</v>
      </c>
      <c r="J18" s="85">
        <f t="shared" si="5"/>
        <v>-0.06142295855300351</v>
      </c>
      <c r="K18" s="70"/>
      <c r="L18" s="70"/>
      <c r="M18" s="70"/>
      <c r="N18" s="70"/>
      <c r="O18" s="70"/>
    </row>
    <row r="19" spans="1:15" ht="12.75">
      <c r="A19" s="29">
        <f>A17+20</f>
        <v>37552</v>
      </c>
      <c r="B19" s="79">
        <f t="shared" si="1"/>
        <v>296</v>
      </c>
      <c r="C19" s="83">
        <v>209.41</v>
      </c>
      <c r="D19" s="64">
        <f t="shared" si="3"/>
        <v>29.409999999999997</v>
      </c>
      <c r="E19" s="84"/>
      <c r="F19" s="85"/>
      <c r="G19" s="83">
        <v>24.27</v>
      </c>
      <c r="H19" s="85">
        <f>G19-(D19-$D$5)+360</f>
        <v>190.88000000000002</v>
      </c>
      <c r="I19" s="33">
        <f t="shared" si="4"/>
        <v>-0.7119678782334694</v>
      </c>
      <c r="J19" s="85">
        <f t="shared" si="5"/>
        <v>-0.13684568083696183</v>
      </c>
      <c r="K19" s="70"/>
      <c r="L19" s="70"/>
      <c r="M19" s="70"/>
      <c r="N19" s="70"/>
      <c r="O19" s="70"/>
    </row>
    <row r="20" spans="1:15" ht="12.75">
      <c r="A20" s="100">
        <f>A19+10</f>
        <v>37562</v>
      </c>
      <c r="B20" s="101">
        <f t="shared" si="1"/>
        <v>306</v>
      </c>
      <c r="C20" s="102">
        <v>219.39</v>
      </c>
      <c r="D20" s="103">
        <f t="shared" si="3"/>
        <v>39.389999999999986</v>
      </c>
      <c r="E20" s="104"/>
      <c r="F20" s="105"/>
      <c r="G20" s="102">
        <v>40.26</v>
      </c>
      <c r="H20" s="106">
        <f>G20-(D20-$D$5)+360</f>
        <v>196.89000000000001</v>
      </c>
      <c r="I20" s="107">
        <f t="shared" si="4"/>
        <v>-0.6937266222766306</v>
      </c>
      <c r="J20" s="105">
        <f t="shared" si="5"/>
        <v>-0.21063801543087365</v>
      </c>
      <c r="K20" s="70"/>
      <c r="L20" s="70"/>
      <c r="M20" s="70"/>
      <c r="N20" s="70"/>
      <c r="O20" s="70"/>
    </row>
    <row r="21" spans="1:16" ht="12.75">
      <c r="A21" s="108"/>
      <c r="B21" s="109"/>
      <c r="C21" s="110"/>
      <c r="D21" s="28"/>
      <c r="E21" s="28"/>
      <c r="F21" s="28"/>
      <c r="G21" s="28"/>
      <c r="L21" s="70"/>
      <c r="M21" s="70"/>
      <c r="N21" s="70"/>
      <c r="O21" s="70"/>
      <c r="P21" s="70" t="s">
        <v>35</v>
      </c>
    </row>
    <row r="22" spans="1:16" ht="12.75">
      <c r="A22" s="108"/>
      <c r="B22" s="111"/>
      <c r="C22" s="112"/>
      <c r="D22" s="113"/>
      <c r="E22" s="114"/>
      <c r="F22" s="64"/>
      <c r="G22" s="64"/>
      <c r="H22" s="64"/>
      <c r="I22" s="115"/>
      <c r="L22" s="70"/>
      <c r="M22" s="70"/>
      <c r="N22" s="70"/>
      <c r="O22" s="70"/>
      <c r="P22" s="70"/>
    </row>
    <row r="23" spans="1:16" ht="12.75">
      <c r="A23" s="108"/>
      <c r="B23" s="109"/>
      <c r="C23" s="116"/>
      <c r="D23" s="67"/>
      <c r="E23" s="67"/>
      <c r="F23" s="67"/>
      <c r="G23" s="67"/>
      <c r="H23" s="67"/>
      <c r="I23" s="117"/>
      <c r="J23" s="118">
        <v>0</v>
      </c>
      <c r="K23" s="119">
        <v>0</v>
      </c>
      <c r="L23" s="70"/>
      <c r="M23" s="70"/>
      <c r="N23" s="70"/>
      <c r="O23" s="70"/>
      <c r="P23" s="70"/>
    </row>
    <row r="24" spans="1:16" ht="12.75">
      <c r="A24" s="108"/>
      <c r="B24" s="109"/>
      <c r="C24" s="116"/>
      <c r="D24" s="67"/>
      <c r="E24" s="67"/>
      <c r="F24" s="67"/>
      <c r="G24" s="67"/>
      <c r="H24" s="120" t="s">
        <v>36</v>
      </c>
      <c r="I24" s="120"/>
      <c r="J24" s="115">
        <f>E5</f>
        <v>-0.9611654217888519</v>
      </c>
      <c r="K24" s="121">
        <f>F5</f>
        <v>-0.27597288264874575</v>
      </c>
      <c r="L24" s="70"/>
      <c r="M24" s="70"/>
      <c r="N24" s="70"/>
      <c r="O24" s="70"/>
      <c r="P24" s="70"/>
    </row>
    <row r="25" spans="1:16" ht="12.75">
      <c r="A25" s="108"/>
      <c r="B25" s="109"/>
      <c r="C25" s="116"/>
      <c r="D25" s="67"/>
      <c r="E25" s="67"/>
      <c r="F25" s="67"/>
      <c r="G25" s="67"/>
      <c r="H25" s="67"/>
      <c r="I25" s="67"/>
      <c r="J25" s="122">
        <f>I16</f>
        <v>-0.7230622522706244</v>
      </c>
      <c r="K25" s="121">
        <f>J16</f>
        <v>0.0529714955549853</v>
      </c>
      <c r="L25" s="66"/>
      <c r="M25" s="59"/>
      <c r="N25" s="63"/>
      <c r="O25" s="70"/>
      <c r="P25" s="70"/>
    </row>
    <row r="26" spans="1:16" ht="12.75">
      <c r="A26" s="108"/>
      <c r="B26" s="109"/>
      <c r="C26" s="116"/>
      <c r="D26" s="67"/>
      <c r="E26" s="67"/>
      <c r="F26" s="67"/>
      <c r="G26" s="67"/>
      <c r="H26" s="67"/>
      <c r="I26" s="67"/>
      <c r="J26" s="123">
        <v>0</v>
      </c>
      <c r="K26" s="124">
        <v>0</v>
      </c>
      <c r="L26" s="66"/>
      <c r="M26" s="59"/>
      <c r="N26" s="63"/>
      <c r="O26" s="70"/>
      <c r="P26" s="70"/>
    </row>
    <row r="27" spans="1:16" ht="12.75">
      <c r="A27" s="108"/>
      <c r="B27" s="109"/>
      <c r="C27" s="116"/>
      <c r="D27" s="67"/>
      <c r="E27" s="67"/>
      <c r="F27" s="67"/>
      <c r="G27" s="67"/>
      <c r="H27" s="67"/>
      <c r="I27" s="67"/>
      <c r="J27" s="67"/>
      <c r="K27" s="67"/>
      <c r="L27" s="66"/>
      <c r="M27" s="59"/>
      <c r="N27" s="63"/>
      <c r="O27" s="70"/>
      <c r="P27" s="70"/>
    </row>
    <row r="28" spans="1:16" ht="15">
      <c r="A28" s="108"/>
      <c r="B28" s="109"/>
      <c r="C28" s="116"/>
      <c r="D28" s="67"/>
      <c r="E28" s="67"/>
      <c r="F28" s="67"/>
      <c r="G28" s="67"/>
      <c r="H28" s="67"/>
      <c r="I28" s="67"/>
      <c r="J28" s="67"/>
      <c r="K28" s="67"/>
      <c r="L28" s="66"/>
      <c r="M28" s="59"/>
      <c r="N28" s="63"/>
      <c r="O28" s="70"/>
      <c r="P28" s="70"/>
    </row>
    <row r="29" spans="1:16" ht="15">
      <c r="A29" s="108"/>
      <c r="B29" s="109"/>
      <c r="C29" s="116"/>
      <c r="D29" s="67"/>
      <c r="E29" s="67"/>
      <c r="F29" s="67"/>
      <c r="G29" s="67"/>
      <c r="H29" s="67"/>
      <c r="I29" s="67"/>
      <c r="J29" s="67"/>
      <c r="K29" s="67"/>
      <c r="L29" s="66"/>
      <c r="M29" s="59"/>
      <c r="N29" s="63"/>
      <c r="O29" s="70"/>
      <c r="P29" s="70"/>
    </row>
    <row r="30" spans="1:16" ht="15">
      <c r="A30" s="108"/>
      <c r="B30" s="109"/>
      <c r="C30" s="116"/>
      <c r="D30" s="67"/>
      <c r="E30" s="67"/>
      <c r="F30" s="67"/>
      <c r="G30" s="67"/>
      <c r="H30" s="67"/>
      <c r="I30" s="67"/>
      <c r="J30" s="67"/>
      <c r="K30" s="67"/>
      <c r="L30" s="66"/>
      <c r="M30" s="59"/>
      <c r="N30" s="63"/>
      <c r="O30" s="70"/>
      <c r="P30" s="70"/>
    </row>
    <row r="31" spans="1:16" ht="15">
      <c r="A31" s="108"/>
      <c r="B31" s="109"/>
      <c r="C31" s="116"/>
      <c r="D31" s="56"/>
      <c r="E31" s="56"/>
      <c r="F31" s="67"/>
      <c r="G31" s="67"/>
      <c r="H31" s="67"/>
      <c r="I31" s="67"/>
      <c r="J31" s="67"/>
      <c r="K31" s="67"/>
      <c r="L31" s="66"/>
      <c r="M31" s="59"/>
      <c r="N31" s="63"/>
      <c r="O31" s="70"/>
      <c r="P31" s="70"/>
    </row>
    <row r="32" spans="1:16" ht="15">
      <c r="A32" s="108"/>
      <c r="B32" s="109"/>
      <c r="C32" s="116"/>
      <c r="D32" s="56"/>
      <c r="E32" s="56"/>
      <c r="F32" s="56"/>
      <c r="G32" s="56"/>
      <c r="H32" s="56"/>
      <c r="I32" s="56"/>
      <c r="J32" s="56"/>
      <c r="K32" s="56"/>
      <c r="L32" s="66"/>
      <c r="M32" s="59"/>
      <c r="N32" s="63"/>
      <c r="O32" s="70"/>
      <c r="P32" s="70"/>
    </row>
    <row r="33" spans="1:14" ht="15">
      <c r="A33" s="108"/>
      <c r="B33" s="109"/>
      <c r="C33" s="116"/>
      <c r="D33" s="56"/>
      <c r="E33" s="56"/>
      <c r="F33" s="56"/>
      <c r="G33" s="56"/>
      <c r="H33" s="56"/>
      <c r="I33" s="56"/>
      <c r="J33" s="56"/>
      <c r="K33" s="56"/>
      <c r="L33" s="117"/>
      <c r="M33" s="57"/>
      <c r="N33" s="67"/>
    </row>
    <row r="34" spans="1:14" ht="15">
      <c r="A34" s="108"/>
      <c r="B34" s="109"/>
      <c r="C34" s="116"/>
      <c r="D34" s="56"/>
      <c r="E34" s="56"/>
      <c r="F34" s="56"/>
      <c r="G34" s="56"/>
      <c r="H34" s="56"/>
      <c r="I34" s="56"/>
      <c r="J34" s="56"/>
      <c r="K34" s="56"/>
      <c r="L34" s="117"/>
      <c r="M34" s="57"/>
      <c r="N34" s="67"/>
    </row>
    <row r="35" spans="1:14" ht="15">
      <c r="A35" s="108"/>
      <c r="B35" s="109"/>
      <c r="C35" s="116"/>
      <c r="D35" s="56"/>
      <c r="E35" s="56"/>
      <c r="F35" s="56"/>
      <c r="G35" s="56"/>
      <c r="H35" s="56"/>
      <c r="I35" s="56"/>
      <c r="J35" s="56"/>
      <c r="K35" s="56"/>
      <c r="L35" s="117"/>
      <c r="M35" s="57"/>
      <c r="N35" s="67"/>
    </row>
    <row r="36" spans="1:14" ht="15">
      <c r="A36" s="108"/>
      <c r="B36" s="109"/>
      <c r="C36" s="116"/>
      <c r="D36" s="56"/>
      <c r="E36" s="56"/>
      <c r="F36" s="56"/>
      <c r="G36" s="56"/>
      <c r="H36" s="56"/>
      <c r="I36" s="56"/>
      <c r="J36" s="56"/>
      <c r="K36" s="56"/>
      <c r="L36" s="117"/>
      <c r="M36" s="57"/>
      <c r="N36" s="67"/>
    </row>
    <row r="37" spans="1:14" ht="15">
      <c r="A37" s="108"/>
      <c r="B37" s="109"/>
      <c r="C37" s="116"/>
      <c r="D37" s="56"/>
      <c r="E37" s="56"/>
      <c r="F37" s="56"/>
      <c r="G37" s="56"/>
      <c r="H37" s="56"/>
      <c r="I37" s="56"/>
      <c r="J37" s="56"/>
      <c r="K37" s="56"/>
      <c r="L37" s="117"/>
      <c r="M37" s="57"/>
      <c r="N37" s="67"/>
    </row>
    <row r="38" spans="1:14" ht="15">
      <c r="A38" s="108"/>
      <c r="B38" s="109"/>
      <c r="C38" s="116"/>
      <c r="D38" s="56"/>
      <c r="E38" s="56"/>
      <c r="F38" s="56"/>
      <c r="G38" s="56"/>
      <c r="H38" s="56"/>
      <c r="I38" s="56"/>
      <c r="J38" s="56"/>
      <c r="K38" s="56"/>
      <c r="L38" s="117"/>
      <c r="M38" s="57"/>
      <c r="N38" s="67"/>
    </row>
    <row r="39" spans="1:14" ht="15">
      <c r="A39" s="108"/>
      <c r="B39" s="109"/>
      <c r="C39" s="116"/>
      <c r="D39" s="57"/>
      <c r="E39" s="57"/>
      <c r="F39" s="57"/>
      <c r="G39" s="57"/>
      <c r="H39" s="57"/>
      <c r="I39" s="57"/>
      <c r="J39" s="57"/>
      <c r="K39" s="57"/>
      <c r="L39" s="117"/>
      <c r="M39" s="57"/>
      <c r="N39" s="67"/>
    </row>
    <row r="40" spans="1:14" ht="15">
      <c r="A40" s="108"/>
      <c r="L40" s="117"/>
      <c r="M40" s="57"/>
      <c r="N40" s="67"/>
    </row>
    <row r="41" spans="1:12" ht="15">
      <c r="A41" s="108"/>
      <c r="L41" s="125"/>
    </row>
    <row r="42" spans="1:12" ht="15">
      <c r="A42" s="108"/>
      <c r="L42" s="125"/>
    </row>
    <row r="43" spans="1:12" ht="15">
      <c r="A43" s="108"/>
      <c r="L43" s="125"/>
    </row>
    <row r="44" ht="15">
      <c r="A44" s="108"/>
    </row>
    <row r="45" ht="15">
      <c r="A45" s="108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spans="2:11" ht="15">
      <c r="B57" s="57"/>
      <c r="C57" s="57"/>
      <c r="D57" s="126"/>
      <c r="E57" s="126"/>
      <c r="F57" s="127"/>
      <c r="G57" s="128"/>
      <c r="H57" s="128"/>
      <c r="I57" s="128"/>
      <c r="J57" s="128"/>
      <c r="K57" s="128"/>
    </row>
    <row r="58" spans="2:15" ht="15">
      <c r="B58" s="129"/>
      <c r="C58" s="129"/>
      <c r="D58" s="130"/>
      <c r="E58" s="130"/>
      <c r="F58" s="130"/>
      <c r="G58" s="130"/>
      <c r="H58" s="130"/>
      <c r="I58" s="130"/>
      <c r="J58" s="130"/>
      <c r="K58" s="130"/>
      <c r="L58" s="131"/>
      <c r="M58" s="131"/>
      <c r="N58" s="131"/>
      <c r="O58" s="131"/>
    </row>
    <row r="59" spans="2:16" ht="15">
      <c r="B59" s="111"/>
      <c r="C59" s="79"/>
      <c r="D59" s="64"/>
      <c r="E59" s="64"/>
      <c r="F59" s="64"/>
      <c r="G59" s="64"/>
      <c r="H59" s="64"/>
      <c r="I59" s="64"/>
      <c r="J59" s="64"/>
      <c r="K59" s="64"/>
      <c r="L59" s="130"/>
      <c r="M59" s="130"/>
      <c r="N59" s="130"/>
      <c r="O59" s="130"/>
      <c r="P59" s="58"/>
    </row>
    <row r="60" spans="2:16" ht="12.75">
      <c r="B60" s="111"/>
      <c r="C60" s="79"/>
      <c r="D60" s="64"/>
      <c r="E60" s="64"/>
      <c r="F60" s="64"/>
      <c r="G60" s="64"/>
      <c r="H60" s="64"/>
      <c r="I60" s="64"/>
      <c r="J60" s="64"/>
      <c r="K60" s="64"/>
      <c r="L60" s="115"/>
      <c r="M60" s="64"/>
      <c r="N60" s="64"/>
      <c r="O60" s="64"/>
      <c r="P60" s="58"/>
    </row>
    <row r="61" spans="2:16" ht="12.75">
      <c r="B61" s="111"/>
      <c r="C61" s="79"/>
      <c r="D61" s="64"/>
      <c r="E61" s="64"/>
      <c r="F61" s="64"/>
      <c r="G61" s="64"/>
      <c r="H61" s="64"/>
      <c r="I61" s="64"/>
      <c r="J61" s="64"/>
      <c r="K61" s="64"/>
      <c r="L61" s="115"/>
      <c r="M61" s="64"/>
      <c r="N61" s="64"/>
      <c r="O61" s="64"/>
      <c r="P61" s="58"/>
    </row>
    <row r="62" spans="2:16" ht="12.75">
      <c r="B62" s="111"/>
      <c r="C62" s="79"/>
      <c r="D62" s="64"/>
      <c r="E62" s="64"/>
      <c r="F62" s="64"/>
      <c r="G62" s="64"/>
      <c r="H62" s="64"/>
      <c r="I62" s="64"/>
      <c r="J62" s="64"/>
      <c r="K62" s="64"/>
      <c r="L62" s="115"/>
      <c r="M62" s="64"/>
      <c r="N62" s="64"/>
      <c r="O62" s="64"/>
      <c r="P62" s="58"/>
    </row>
    <row r="63" spans="2:16" ht="12.75">
      <c r="B63" s="111"/>
      <c r="C63" s="79"/>
      <c r="D63" s="64"/>
      <c r="E63" s="64"/>
      <c r="F63" s="64"/>
      <c r="G63" s="64"/>
      <c r="H63" s="64"/>
      <c r="I63" s="64"/>
      <c r="J63" s="64"/>
      <c r="K63" s="64"/>
      <c r="L63" s="115"/>
      <c r="M63" s="64"/>
      <c r="N63" s="64"/>
      <c r="O63" s="64"/>
      <c r="P63" s="58"/>
    </row>
    <row r="64" spans="2:16" ht="12.75">
      <c r="B64" s="111"/>
      <c r="C64" s="79"/>
      <c r="D64" s="64"/>
      <c r="E64" s="64"/>
      <c r="F64" s="64"/>
      <c r="G64" s="64"/>
      <c r="H64" s="64"/>
      <c r="I64" s="64"/>
      <c r="J64" s="64"/>
      <c r="K64" s="64"/>
      <c r="L64" s="115"/>
      <c r="M64" s="64"/>
      <c r="N64" s="64"/>
      <c r="O64" s="64"/>
      <c r="P64" s="58"/>
    </row>
    <row r="65" spans="2:16" ht="12.75">
      <c r="B65" s="111"/>
      <c r="C65" s="79"/>
      <c r="D65" s="64"/>
      <c r="E65" s="64"/>
      <c r="F65" s="64"/>
      <c r="G65" s="64"/>
      <c r="H65" s="64"/>
      <c r="I65" s="64"/>
      <c r="J65" s="64"/>
      <c r="K65" s="64"/>
      <c r="L65" s="115"/>
      <c r="M65" s="64"/>
      <c r="N65" s="64"/>
      <c r="O65" s="64"/>
      <c r="P65" s="58"/>
    </row>
    <row r="66" spans="12:16" ht="12.75">
      <c r="L66" s="115"/>
      <c r="M66" s="64"/>
      <c r="N66" s="64"/>
      <c r="O66" s="64"/>
      <c r="P66" s="58"/>
    </row>
  </sheetData>
  <mergeCells count="5">
    <mergeCell ref="A1:J1"/>
    <mergeCell ref="E8:F8"/>
    <mergeCell ref="E10:F10"/>
    <mergeCell ref="E12:F12"/>
    <mergeCell ref="H24:I24"/>
  </mergeCells>
  <printOptions/>
  <pageMargins left="0.7" right="0.7" top="0.7875" bottom="0.78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76">
      <selection activeCell="L94" sqref="L94"/>
    </sheetView>
  </sheetViews>
  <sheetFormatPr defaultColWidth="11.421875" defaultRowHeight="12.75"/>
  <cols>
    <col min="1" max="1" width="8.00390625" style="1" customWidth="1"/>
    <col min="2" max="2" width="10.57421875" style="1" customWidth="1"/>
    <col min="3" max="3" width="13.00390625" style="1" customWidth="1"/>
    <col min="4" max="4" width="8.00390625" style="1" customWidth="1"/>
    <col min="5" max="5" width="9.8515625" style="1" customWidth="1"/>
    <col min="6" max="6" width="12.28125" style="1" customWidth="1"/>
    <col min="7" max="7" width="8.00390625" style="1" customWidth="1"/>
    <col min="8" max="8" width="5.57421875" style="1" customWidth="1"/>
    <col min="9" max="9" width="12.28125" style="1" customWidth="1"/>
    <col min="10" max="10" width="8.00390625" style="1" customWidth="1"/>
    <col min="11" max="11" width="5.57421875" style="1" customWidth="1"/>
    <col min="12" max="12" width="12.28125" style="1" customWidth="1"/>
    <col min="13" max="16384" width="10.57421875" style="1" customWidth="1"/>
  </cols>
  <sheetData>
    <row r="1" spans="1:5" ht="14.25">
      <c r="A1" s="132" t="s">
        <v>37</v>
      </c>
      <c r="B1" s="132"/>
      <c r="C1" s="132"/>
      <c r="D1" s="132"/>
      <c r="E1" s="132"/>
    </row>
    <row r="2" spans="1:5" ht="14.25">
      <c r="A2" s="133"/>
      <c r="B2" s="134"/>
      <c r="C2" s="134"/>
      <c r="D2" s="135"/>
      <c r="E2" s="136" t="s">
        <v>38</v>
      </c>
    </row>
    <row r="3" spans="1:5" ht="12.75">
      <c r="A3" s="137"/>
      <c r="B3" s="138" t="s">
        <v>39</v>
      </c>
      <c r="C3" s="139" t="s">
        <v>40</v>
      </c>
      <c r="D3" s="140"/>
      <c r="E3" s="141" t="s">
        <v>41</v>
      </c>
    </row>
    <row r="4" spans="1:7" ht="12.75">
      <c r="A4" s="142" t="s">
        <v>2</v>
      </c>
      <c r="B4" s="143" t="s">
        <v>42</v>
      </c>
      <c r="C4" s="144" t="s">
        <v>43</v>
      </c>
      <c r="D4" s="145" t="s">
        <v>44</v>
      </c>
      <c r="E4" s="146" t="s">
        <v>45</v>
      </c>
      <c r="F4" s="57"/>
      <c r="G4" s="57"/>
    </row>
    <row r="5" spans="1:9" ht="12.75">
      <c r="A5" s="147">
        <v>37352</v>
      </c>
      <c r="B5" s="148">
        <v>10.57</v>
      </c>
      <c r="C5" s="149">
        <f aca="true" t="shared" si="0" ref="C5:C17">B5/59</f>
        <v>0.17915254237288136</v>
      </c>
      <c r="D5" s="148">
        <v>28</v>
      </c>
      <c r="E5" s="26">
        <f aca="true" t="shared" si="1" ref="E5:E17">-C5*COS(RADIANS(D5))</f>
        <v>-0.1581823060426925</v>
      </c>
      <c r="F5" s="67"/>
      <c r="G5" s="150" t="s">
        <v>46</v>
      </c>
      <c r="H5" s="150"/>
      <c r="I5" s="150"/>
    </row>
    <row r="6" spans="1:9" ht="13.5">
      <c r="A6" s="151">
        <f aca="true" t="shared" si="2" ref="A6:A13">A5+20</f>
        <v>37372</v>
      </c>
      <c r="B6" s="152">
        <v>11.14</v>
      </c>
      <c r="C6" s="115">
        <f t="shared" si="0"/>
        <v>0.18881355932203392</v>
      </c>
      <c r="D6" s="152">
        <v>36</v>
      </c>
      <c r="E6" s="34">
        <f t="shared" si="1"/>
        <v>-0.15275337825994773</v>
      </c>
      <c r="F6" s="67"/>
      <c r="G6" s="153" t="s">
        <v>47</v>
      </c>
      <c r="H6" s="153"/>
      <c r="I6" s="153"/>
    </row>
    <row r="7" spans="1:7" ht="12.75">
      <c r="A7" s="151">
        <f t="shared" si="2"/>
        <v>37392</v>
      </c>
      <c r="B7" s="152">
        <v>11.95</v>
      </c>
      <c r="C7" s="115">
        <f t="shared" si="0"/>
        <v>0.20254237288135593</v>
      </c>
      <c r="D7" s="152">
        <v>44</v>
      </c>
      <c r="E7" s="34">
        <f t="shared" si="1"/>
        <v>-0.1456967900685912</v>
      </c>
      <c r="F7" s="67"/>
      <c r="G7" s="67"/>
    </row>
    <row r="8" spans="1:7" ht="12.75">
      <c r="A8" s="151">
        <f t="shared" si="2"/>
        <v>37412</v>
      </c>
      <c r="B8" s="152">
        <v>13.09</v>
      </c>
      <c r="C8" s="115">
        <f t="shared" si="0"/>
        <v>0.22186440677966102</v>
      </c>
      <c r="D8" s="152">
        <v>53</v>
      </c>
      <c r="E8" s="34">
        <f t="shared" si="1"/>
        <v>-0.13352133310271716</v>
      </c>
      <c r="F8" s="67"/>
      <c r="G8" s="67"/>
    </row>
    <row r="9" spans="1:9" ht="12.75">
      <c r="A9" s="151">
        <f t="shared" si="2"/>
        <v>37432</v>
      </c>
      <c r="B9" s="152">
        <v>14.67</v>
      </c>
      <c r="C9" s="115">
        <f t="shared" si="0"/>
        <v>0.24864406779661016</v>
      </c>
      <c r="D9" s="152">
        <v>62</v>
      </c>
      <c r="E9" s="34">
        <f t="shared" si="1"/>
        <v>-0.11673131908591557</v>
      </c>
      <c r="F9" s="67"/>
      <c r="G9" s="150" t="s">
        <v>48</v>
      </c>
      <c r="H9" s="150"/>
      <c r="I9" s="150"/>
    </row>
    <row r="10" spans="1:9" ht="13.5">
      <c r="A10" s="151">
        <f t="shared" si="2"/>
        <v>37452</v>
      </c>
      <c r="B10" s="152">
        <v>16.88</v>
      </c>
      <c r="C10" s="115">
        <f t="shared" si="0"/>
        <v>0.2861016949152542</v>
      </c>
      <c r="D10" s="152">
        <v>71</v>
      </c>
      <c r="E10" s="34">
        <f t="shared" si="1"/>
        <v>-0.09314560080062383</v>
      </c>
      <c r="F10" s="67"/>
      <c r="G10" s="153" t="s">
        <v>49</v>
      </c>
      <c r="H10" s="153"/>
      <c r="I10" s="153"/>
    </row>
    <row r="11" spans="1:7" ht="12.75">
      <c r="A11" s="151">
        <f t="shared" si="2"/>
        <v>37472</v>
      </c>
      <c r="B11" s="152">
        <v>20.08</v>
      </c>
      <c r="C11" s="115">
        <f t="shared" si="0"/>
        <v>0.3403389830508474</v>
      </c>
      <c r="D11" s="152">
        <v>81</v>
      </c>
      <c r="E11" s="34">
        <f t="shared" si="1"/>
        <v>-0.05324074674589554</v>
      </c>
      <c r="F11" s="67"/>
      <c r="G11" s="67"/>
    </row>
    <row r="12" spans="1:9" ht="12.75">
      <c r="A12" s="151">
        <f t="shared" si="2"/>
        <v>37492</v>
      </c>
      <c r="B12" s="152">
        <v>24.84</v>
      </c>
      <c r="C12" s="115">
        <f t="shared" si="0"/>
        <v>0.4210169491525424</v>
      </c>
      <c r="D12" s="152">
        <v>92</v>
      </c>
      <c r="E12" s="34">
        <f t="shared" si="1"/>
        <v>0.014693279628646166</v>
      </c>
      <c r="F12" s="154"/>
      <c r="G12" s="155" t="s">
        <v>50</v>
      </c>
      <c r="H12" s="155"/>
      <c r="I12" s="155"/>
    </row>
    <row r="13" spans="1:9" ht="12.75">
      <c r="A13" s="156">
        <f t="shared" si="2"/>
        <v>37512</v>
      </c>
      <c r="B13" s="157">
        <v>32.31</v>
      </c>
      <c r="C13" s="158">
        <f t="shared" si="0"/>
        <v>0.5476271186440679</v>
      </c>
      <c r="D13" s="157">
        <v>107</v>
      </c>
      <c r="E13" s="34">
        <f t="shared" si="1"/>
        <v>0.16011067423036648</v>
      </c>
      <c r="F13" s="154"/>
      <c r="G13" s="159" t="s">
        <v>51</v>
      </c>
      <c r="H13" s="159" t="s">
        <v>52</v>
      </c>
      <c r="I13" s="159" t="s">
        <v>53</v>
      </c>
    </row>
    <row r="14" spans="1:10" ht="12.75">
      <c r="A14" s="160">
        <v>37527</v>
      </c>
      <c r="B14" s="161">
        <f>I14</f>
        <v>40.945</v>
      </c>
      <c r="C14" s="162">
        <f t="shared" si="0"/>
        <v>0.6939830508474576</v>
      </c>
      <c r="D14" s="163">
        <v>125</v>
      </c>
      <c r="E14" s="164">
        <f t="shared" si="1"/>
        <v>0.39805232519311157</v>
      </c>
      <c r="F14" s="154"/>
      <c r="G14" s="159">
        <v>37.63</v>
      </c>
      <c r="H14" s="165">
        <v>44.26</v>
      </c>
      <c r="I14" s="166">
        <f>$G$14+($H$14-$G$14)*0.5</f>
        <v>40.945</v>
      </c>
      <c r="J14" s="167" t="s">
        <v>54</v>
      </c>
    </row>
    <row r="15" spans="1:9" ht="12.75">
      <c r="A15" s="156">
        <v>37532</v>
      </c>
      <c r="B15" s="157">
        <v>44.26</v>
      </c>
      <c r="C15" s="158">
        <f t="shared" si="0"/>
        <v>0.7501694915254237</v>
      </c>
      <c r="D15" s="157">
        <v>127</v>
      </c>
      <c r="E15" s="34">
        <f t="shared" si="1"/>
        <v>0.4514632699103332</v>
      </c>
      <c r="F15" s="154"/>
      <c r="G15" s="154"/>
      <c r="H15" s="6"/>
      <c r="I15" s="6"/>
    </row>
    <row r="16" spans="1:9" ht="12.75">
      <c r="A16" s="151">
        <f>A15+20</f>
        <v>37552</v>
      </c>
      <c r="B16" s="152">
        <v>58.87</v>
      </c>
      <c r="C16" s="115">
        <f t="shared" si="0"/>
        <v>0.9977966101694915</v>
      </c>
      <c r="D16" s="152">
        <v>159</v>
      </c>
      <c r="E16" s="34">
        <f t="shared" si="1"/>
        <v>0.931523384879496</v>
      </c>
      <c r="F16" s="154"/>
      <c r="G16" s="154"/>
      <c r="H16" s="6"/>
      <c r="I16" s="6"/>
    </row>
    <row r="17" spans="1:7" ht="12.75">
      <c r="A17" s="168">
        <f>A16+20</f>
        <v>37572</v>
      </c>
      <c r="B17" s="169">
        <v>58.13</v>
      </c>
      <c r="C17" s="170">
        <f t="shared" si="0"/>
        <v>0.9852542372881357</v>
      </c>
      <c r="D17" s="169">
        <v>155</v>
      </c>
      <c r="E17" s="171">
        <f t="shared" si="1"/>
        <v>0.8929435874650926</v>
      </c>
      <c r="F17" s="67"/>
      <c r="G17" s="67"/>
    </row>
    <row r="18" spans="1:7" ht="12.75">
      <c r="A18" s="111"/>
      <c r="B18" s="129"/>
      <c r="C18" s="64"/>
      <c r="D18" s="129"/>
      <c r="E18" s="115"/>
      <c r="F18" s="67"/>
      <c r="G18" s="67"/>
    </row>
    <row r="19" spans="1:12" ht="12.75">
      <c r="A19" s="172">
        <v>37352</v>
      </c>
      <c r="B19" s="173"/>
      <c r="C19" s="174"/>
      <c r="D19" s="175">
        <v>37452</v>
      </c>
      <c r="E19" s="176"/>
      <c r="F19" s="177"/>
      <c r="G19" s="178">
        <v>37527</v>
      </c>
      <c r="H19" s="179"/>
      <c r="I19" s="179"/>
      <c r="J19" s="180">
        <v>37552</v>
      </c>
      <c r="K19" s="181"/>
      <c r="L19" s="182"/>
    </row>
    <row r="20" spans="1:12" ht="12.75">
      <c r="A20" s="183"/>
      <c r="B20" s="184" t="s">
        <v>55</v>
      </c>
      <c r="C20" s="185" t="s">
        <v>56</v>
      </c>
      <c r="D20" s="186"/>
      <c r="E20" s="187" t="s">
        <v>55</v>
      </c>
      <c r="F20" s="188" t="s">
        <v>56</v>
      </c>
      <c r="G20" s="189"/>
      <c r="H20" s="190" t="s">
        <v>57</v>
      </c>
      <c r="I20" s="191" t="s">
        <v>56</v>
      </c>
      <c r="J20" s="192"/>
      <c r="K20" s="193" t="s">
        <v>57</v>
      </c>
      <c r="L20" s="194" t="s">
        <v>56</v>
      </c>
    </row>
    <row r="21" spans="1:12" ht="12.75">
      <c r="A21" s="195" t="s">
        <v>58</v>
      </c>
      <c r="B21" s="196" t="s">
        <v>59</v>
      </c>
      <c r="C21" s="197" t="s">
        <v>59</v>
      </c>
      <c r="D21" s="198" t="s">
        <v>58</v>
      </c>
      <c r="E21" s="199" t="s">
        <v>59</v>
      </c>
      <c r="F21" s="200" t="s">
        <v>59</v>
      </c>
      <c r="G21" s="201" t="s">
        <v>58</v>
      </c>
      <c r="H21" s="202" t="s">
        <v>59</v>
      </c>
      <c r="I21" s="203" t="s">
        <v>59</v>
      </c>
      <c r="J21" s="204" t="s">
        <v>58</v>
      </c>
      <c r="K21" s="205" t="s">
        <v>59</v>
      </c>
      <c r="L21" s="206" t="s">
        <v>59</v>
      </c>
    </row>
    <row r="22" spans="1:12" ht="12.75">
      <c r="A22" s="207">
        <f>-$C$5</f>
        <v>-0.17915254237288136</v>
      </c>
      <c r="B22" s="208">
        <f aca="true" t="shared" si="3" ref="B22:B40">SQRT($C$5^2-A22^2)</f>
        <v>0</v>
      </c>
      <c r="C22" s="162">
        <f>$E$5*SQRT(1-(A22/$C$5)^2)</f>
        <v>0</v>
      </c>
      <c r="D22" s="209">
        <f>-$C$10</f>
        <v>-0.2861016949152542</v>
      </c>
      <c r="E22" s="210">
        <f aca="true" t="shared" si="4" ref="E22:E51">SQRT($C$10^2-D22^2)</f>
        <v>0</v>
      </c>
      <c r="F22" s="211">
        <f aca="true" t="shared" si="5" ref="F22:F51">$E$10*SQRT(1-(D22/$C$10)^2)</f>
        <v>0</v>
      </c>
      <c r="G22" s="212">
        <f>-$C$14</f>
        <v>-0.6939830508474576</v>
      </c>
      <c r="H22" s="213">
        <f aca="true" t="shared" si="6" ref="H22:H50">SQRT($C$14^2-G22^2)</f>
        <v>0</v>
      </c>
      <c r="I22" s="214">
        <f aca="true" t="shared" si="7" ref="I22:I50">$E$14*SQRT(1-(G22/$C$14)^2)</f>
        <v>0</v>
      </c>
      <c r="J22" s="215">
        <f>-$C$16</f>
        <v>-0.9977966101694915</v>
      </c>
      <c r="K22" s="216">
        <f aca="true" t="shared" si="8" ref="K22:K72">SQRT($C$16^2-J22^2)</f>
        <v>0</v>
      </c>
      <c r="L22" s="217">
        <f aca="true" t="shared" si="9" ref="L22:L72">$E$16*SQRT(1-(J22/$C$16)^2)</f>
        <v>0</v>
      </c>
    </row>
    <row r="23" spans="1:12" ht="12.75">
      <c r="A23" s="207">
        <f>A22+0.02</f>
        <v>-0.15915254237288137</v>
      </c>
      <c r="B23" s="208">
        <f t="shared" si="3"/>
        <v>0.08225631705173318</v>
      </c>
      <c r="C23" s="162">
        <f>$E$5*SQRT(1-(A23/$C$5)^2)</f>
        <v>-0.07262801713826851</v>
      </c>
      <c r="D23" s="209">
        <f aca="true" t="shared" si="10" ref="D23:D50">D22+0.02</f>
        <v>-0.2661016949152542</v>
      </c>
      <c r="E23" s="210">
        <f t="shared" si="4"/>
        <v>0.10509075980603712</v>
      </c>
      <c r="F23" s="211">
        <f t="shared" si="5"/>
        <v>-0.03421420472055184</v>
      </c>
      <c r="G23" s="218">
        <f aca="true" t="shared" si="11" ref="G23:G49">G22+0.05</f>
        <v>-0.6439830508474575</v>
      </c>
      <c r="H23" s="219">
        <f t="shared" si="6"/>
        <v>0.2586470666463198</v>
      </c>
      <c r="I23" s="220">
        <f t="shared" si="7"/>
        <v>0.1483538627596476</v>
      </c>
      <c r="J23" s="221">
        <f>J22+0.04</f>
        <v>-0.9577966101694915</v>
      </c>
      <c r="K23" s="222">
        <f t="shared" si="8"/>
        <v>0.27968505289621653</v>
      </c>
      <c r="L23" s="223">
        <f t="shared" si="9"/>
        <v>0.2611084909677422</v>
      </c>
    </row>
    <row r="24" spans="1:12" ht="12.75">
      <c r="A24" s="207">
        <f aca="true" t="shared" si="12" ref="A24:A39">A23+0.02</f>
        <v>-0.13915254237288138</v>
      </c>
      <c r="B24" s="208">
        <f t="shared" si="3"/>
        <v>0.11283706567360967</v>
      </c>
      <c r="C24" s="162">
        <f aca="true" t="shared" si="13" ref="C24:C39">$E$5*SQRT(1-(A24/$C$5)^2)</f>
        <v>-0.09962921552177831</v>
      </c>
      <c r="D24" s="209">
        <f t="shared" si="10"/>
        <v>-0.24610169491525422</v>
      </c>
      <c r="E24" s="210">
        <f t="shared" si="4"/>
        <v>0.14590454274360462</v>
      </c>
      <c r="F24" s="211">
        <f t="shared" si="5"/>
        <v>-0.04750187270795069</v>
      </c>
      <c r="G24" s="218">
        <f t="shared" si="11"/>
        <v>-0.5939830508474575</v>
      </c>
      <c r="H24" s="219">
        <f t="shared" si="6"/>
        <v>0.35888244617073656</v>
      </c>
      <c r="I24" s="220">
        <f t="shared" si="7"/>
        <v>0.20584651454355724</v>
      </c>
      <c r="J24" s="221">
        <f aca="true" t="shared" si="14" ref="J24:J71">J23+0.04</f>
        <v>-0.9177966101694914</v>
      </c>
      <c r="K24" s="222">
        <f t="shared" si="8"/>
        <v>0.39146833540801074</v>
      </c>
      <c r="L24" s="223">
        <f t="shared" si="9"/>
        <v>0.3654671755303604</v>
      </c>
    </row>
    <row r="25" spans="1:12" ht="12.75">
      <c r="A25" s="207">
        <f t="shared" si="12"/>
        <v>-0.11915254237288138</v>
      </c>
      <c r="B25" s="208">
        <f t="shared" si="3"/>
        <v>0.13378454725694505</v>
      </c>
      <c r="C25" s="162">
        <f t="shared" si="13"/>
        <v>-0.11812474396224097</v>
      </c>
      <c r="D25" s="209">
        <f t="shared" si="10"/>
        <v>-0.22610169491525423</v>
      </c>
      <c r="E25" s="210">
        <f t="shared" si="4"/>
        <v>0.17530602781944069</v>
      </c>
      <c r="F25" s="211">
        <f t="shared" si="5"/>
        <v>-0.057074059942390266</v>
      </c>
      <c r="G25" s="218">
        <f t="shared" si="11"/>
        <v>-0.5439830508474575</v>
      </c>
      <c r="H25" s="219">
        <f t="shared" si="6"/>
        <v>0.4309233287421759</v>
      </c>
      <c r="I25" s="220">
        <f t="shared" si="7"/>
        <v>0.24716746724046765</v>
      </c>
      <c r="J25" s="221">
        <f t="shared" si="14"/>
        <v>-0.8777966101694914</v>
      </c>
      <c r="K25" s="222">
        <f t="shared" si="8"/>
        <v>0.47441668018807914</v>
      </c>
      <c r="L25" s="223">
        <f t="shared" si="9"/>
        <v>0.4429061266273735</v>
      </c>
    </row>
    <row r="26" spans="1:12" ht="12.75">
      <c r="A26" s="207">
        <f t="shared" si="12"/>
        <v>-0.09915254237288137</v>
      </c>
      <c r="B26" s="208">
        <f t="shared" si="3"/>
        <v>0.14921262272227848</v>
      </c>
      <c r="C26" s="162">
        <f t="shared" si="13"/>
        <v>-0.13174692605680302</v>
      </c>
      <c r="D26" s="209">
        <f t="shared" si="10"/>
        <v>-0.20610169491525424</v>
      </c>
      <c r="E26" s="210">
        <f t="shared" si="4"/>
        <v>0.19843455139274682</v>
      </c>
      <c r="F26" s="211">
        <f t="shared" si="5"/>
        <v>-0.0646039706774704</v>
      </c>
      <c r="G26" s="218">
        <f t="shared" si="11"/>
        <v>-0.49398305084745747</v>
      </c>
      <c r="H26" s="219">
        <f t="shared" si="6"/>
        <v>0.48743534990702425</v>
      </c>
      <c r="I26" s="220">
        <f t="shared" si="7"/>
        <v>0.27958143095119614</v>
      </c>
      <c r="J26" s="221">
        <f t="shared" si="14"/>
        <v>-0.8377966101694914</v>
      </c>
      <c r="K26" s="222">
        <f t="shared" si="8"/>
        <v>0.5419362649373425</v>
      </c>
      <c r="L26" s="223">
        <f t="shared" si="9"/>
        <v>0.5059410893545047</v>
      </c>
    </row>
    <row r="27" spans="1:12" ht="12.75">
      <c r="A27" s="207">
        <f t="shared" si="12"/>
        <v>-0.07915254237288137</v>
      </c>
      <c r="B27" s="208">
        <f t="shared" si="3"/>
        <v>0.16071872471674317</v>
      </c>
      <c r="C27" s="162">
        <f t="shared" si="13"/>
        <v>-0.1419062111160049</v>
      </c>
      <c r="D27" s="209">
        <f t="shared" si="10"/>
        <v>-0.18610169491525425</v>
      </c>
      <c r="E27" s="210">
        <f t="shared" si="4"/>
        <v>0.21730241366135547</v>
      </c>
      <c r="F27" s="211">
        <f t="shared" si="5"/>
        <v>-0.07074674577481313</v>
      </c>
      <c r="G27" s="218">
        <f t="shared" si="11"/>
        <v>-0.4439830508474575</v>
      </c>
      <c r="H27" s="219">
        <f t="shared" si="6"/>
        <v>0.5333774699251262</v>
      </c>
      <c r="I27" s="220">
        <f t="shared" si="7"/>
        <v>0.3059327484295912</v>
      </c>
      <c r="J27" s="221">
        <f t="shared" si="14"/>
        <v>-0.7977966101694913</v>
      </c>
      <c r="K27" s="222">
        <f t="shared" si="8"/>
        <v>0.599265086641794</v>
      </c>
      <c r="L27" s="223">
        <f t="shared" si="9"/>
        <v>0.5594621551719285</v>
      </c>
    </row>
    <row r="28" spans="1:12" ht="12.75">
      <c r="A28" s="207">
        <f t="shared" si="12"/>
        <v>-0.05915254237288137</v>
      </c>
      <c r="B28" s="208">
        <f t="shared" si="3"/>
        <v>0.16910532271188725</v>
      </c>
      <c r="C28" s="162">
        <f t="shared" si="13"/>
        <v>-0.14931113762809287</v>
      </c>
      <c r="D28" s="209">
        <f t="shared" si="10"/>
        <v>-0.16610169491525426</v>
      </c>
      <c r="E28" s="210">
        <f t="shared" si="4"/>
        <v>0.23294721887084424</v>
      </c>
      <c r="F28" s="211">
        <f t="shared" si="5"/>
        <v>-0.07584019613370811</v>
      </c>
      <c r="G28" s="218">
        <f t="shared" si="11"/>
        <v>-0.3939830508474575</v>
      </c>
      <c r="H28" s="219">
        <f t="shared" si="6"/>
        <v>0.5713053741288232</v>
      </c>
      <c r="I28" s="220">
        <f t="shared" si="7"/>
        <v>0.32768730056101153</v>
      </c>
      <c r="J28" s="221">
        <f t="shared" si="14"/>
        <v>-0.7577966101694913</v>
      </c>
      <c r="K28" s="222">
        <f t="shared" si="8"/>
        <v>0.6491089067955825</v>
      </c>
      <c r="L28" s="223">
        <f t="shared" si="9"/>
        <v>0.6059953700493523</v>
      </c>
    </row>
    <row r="29" spans="1:12" ht="12.75">
      <c r="A29" s="207">
        <f t="shared" si="12"/>
        <v>-0.03915254237288136</v>
      </c>
      <c r="B29" s="208">
        <f t="shared" si="3"/>
        <v>0.17482194331492482</v>
      </c>
      <c r="C29" s="162">
        <f t="shared" si="13"/>
        <v>-0.15435861402883264</v>
      </c>
      <c r="D29" s="209">
        <f t="shared" si="10"/>
        <v>-0.14610169491525427</v>
      </c>
      <c r="E29" s="210">
        <f t="shared" si="4"/>
        <v>0.24598470394776822</v>
      </c>
      <c r="F29" s="211">
        <f t="shared" si="5"/>
        <v>-0.08008478608896498</v>
      </c>
      <c r="G29" s="218">
        <f t="shared" si="11"/>
        <v>-0.3439830508474575</v>
      </c>
      <c r="H29" s="219">
        <f t="shared" si="6"/>
        <v>0.6027338845570409</v>
      </c>
      <c r="I29" s="220">
        <f t="shared" si="7"/>
        <v>0.3457139535722504</v>
      </c>
      <c r="J29" s="221">
        <f t="shared" si="14"/>
        <v>-0.7177966101694913</v>
      </c>
      <c r="K29" s="222">
        <f t="shared" si="8"/>
        <v>0.6930844838076492</v>
      </c>
      <c r="L29" s="223">
        <f t="shared" si="9"/>
        <v>0.6470501079917381</v>
      </c>
    </row>
    <row r="30" spans="1:12" ht="12.75">
      <c r="A30" s="207">
        <f t="shared" si="12"/>
        <v>-0.019152542372881363</v>
      </c>
      <c r="B30" s="208">
        <f t="shared" si="3"/>
        <v>0.17812583630490564</v>
      </c>
      <c r="C30" s="162">
        <f t="shared" si="13"/>
        <v>-0.1572757783913997</v>
      </c>
      <c r="D30" s="209">
        <f t="shared" si="10"/>
        <v>-0.12610169491525428</v>
      </c>
      <c r="E30" s="210">
        <f t="shared" si="4"/>
        <v>0.2568122706820711</v>
      </c>
      <c r="F30" s="211">
        <f t="shared" si="5"/>
        <v>-0.08360989700791367</v>
      </c>
      <c r="G30" s="218">
        <f t="shared" si="11"/>
        <v>-0.2939830508474575</v>
      </c>
      <c r="H30" s="219">
        <f t="shared" si="6"/>
        <v>0.6286385612400548</v>
      </c>
      <c r="I30" s="220">
        <f t="shared" si="7"/>
        <v>0.3605722657089195</v>
      </c>
      <c r="J30" s="221">
        <f t="shared" si="14"/>
        <v>-0.6777966101694912</v>
      </c>
      <c r="K30" s="222">
        <f t="shared" si="8"/>
        <v>0.7322498415899282</v>
      </c>
      <c r="L30" s="223">
        <f t="shared" si="9"/>
        <v>0.6836141194140336</v>
      </c>
    </row>
    <row r="31" spans="1:12" ht="12.75">
      <c r="A31" s="207">
        <f t="shared" si="12"/>
        <v>0.0008474576271186376</v>
      </c>
      <c r="B31" s="208">
        <f t="shared" si="3"/>
        <v>0.17915053796803762</v>
      </c>
      <c r="C31" s="162">
        <f t="shared" si="13"/>
        <v>-0.15818053625826062</v>
      </c>
      <c r="D31" s="209">
        <f t="shared" si="10"/>
        <v>-0.10610169491525427</v>
      </c>
      <c r="E31" s="210">
        <f t="shared" si="4"/>
        <v>0.265700226137449</v>
      </c>
      <c r="F31" s="211">
        <f t="shared" si="5"/>
        <v>-0.08650353226241847</v>
      </c>
      <c r="G31" s="218">
        <f t="shared" si="11"/>
        <v>-0.24398305084745753</v>
      </c>
      <c r="H31" s="219">
        <f t="shared" si="6"/>
        <v>0.6496804951379654</v>
      </c>
      <c r="I31" s="220">
        <f t="shared" si="7"/>
        <v>0.3726414231680173</v>
      </c>
      <c r="J31" s="221">
        <f t="shared" si="14"/>
        <v>-0.6377966101694912</v>
      </c>
      <c r="K31" s="222">
        <f t="shared" si="8"/>
        <v>0.7673418790356971</v>
      </c>
      <c r="L31" s="223">
        <f t="shared" si="9"/>
        <v>0.7163753586993102</v>
      </c>
    </row>
    <row r="32" spans="1:12" ht="12.75">
      <c r="A32" s="207">
        <f t="shared" si="12"/>
        <v>0.020847457627118638</v>
      </c>
      <c r="B32" s="208">
        <f t="shared" si="3"/>
        <v>0.17793542915662566</v>
      </c>
      <c r="C32" s="162">
        <f t="shared" si="13"/>
        <v>-0.15710765885816275</v>
      </c>
      <c r="D32" s="209">
        <f t="shared" si="10"/>
        <v>-0.08610169491525427</v>
      </c>
      <c r="E32" s="210">
        <f t="shared" si="4"/>
        <v>0.2728381900799477</v>
      </c>
      <c r="F32" s="211">
        <f t="shared" si="5"/>
        <v>-0.08882742600975951</v>
      </c>
      <c r="G32" s="218">
        <f t="shared" si="11"/>
        <v>-0.19398305084745754</v>
      </c>
      <c r="H32" s="219">
        <f t="shared" si="6"/>
        <v>0.6663205316118194</v>
      </c>
      <c r="I32" s="220">
        <f t="shared" si="7"/>
        <v>0.382185755989442</v>
      </c>
      <c r="J32" s="221">
        <f t="shared" si="14"/>
        <v>-0.5977966101694911</v>
      </c>
      <c r="K32" s="222">
        <f t="shared" si="8"/>
        <v>0.7988975454559825</v>
      </c>
      <c r="L32" s="223">
        <f t="shared" si="9"/>
        <v>0.7458351112143637</v>
      </c>
    </row>
    <row r="33" spans="1:12" ht="12.75">
      <c r="A33" s="207">
        <f t="shared" si="12"/>
        <v>0.04084745762711864</v>
      </c>
      <c r="B33" s="208">
        <f t="shared" si="3"/>
        <v>0.17443370845128472</v>
      </c>
      <c r="C33" s="162">
        <f t="shared" si="13"/>
        <v>-0.15401582299051772</v>
      </c>
      <c r="D33" s="209">
        <f t="shared" si="10"/>
        <v>-0.06610169491525426</v>
      </c>
      <c r="E33" s="210">
        <f t="shared" si="4"/>
        <v>0.27836081937426443</v>
      </c>
      <c r="F33" s="211">
        <f t="shared" si="5"/>
        <v>-0.09062541823686122</v>
      </c>
      <c r="G33" s="218">
        <f t="shared" si="11"/>
        <v>-0.14398305084745755</v>
      </c>
      <c r="H33" s="219">
        <f t="shared" si="6"/>
        <v>0.6788824315978454</v>
      </c>
      <c r="I33" s="220">
        <f t="shared" si="7"/>
        <v>0.38939096581722504</v>
      </c>
      <c r="J33" s="221">
        <f t="shared" si="14"/>
        <v>-0.5577966101694911</v>
      </c>
      <c r="K33" s="222">
        <f t="shared" si="8"/>
        <v>0.8273215922174115</v>
      </c>
      <c r="L33" s="223">
        <f t="shared" si="9"/>
        <v>0.7723712449126751</v>
      </c>
    </row>
    <row r="34" spans="1:12" ht="12.75">
      <c r="A34" s="207">
        <f t="shared" si="12"/>
        <v>0.06084745762711864</v>
      </c>
      <c r="B34" s="208">
        <f t="shared" si="3"/>
        <v>0.16850287931956254</v>
      </c>
      <c r="C34" s="162">
        <f t="shared" si="13"/>
        <v>-0.148779211685006</v>
      </c>
      <c r="D34" s="209">
        <f t="shared" si="10"/>
        <v>-0.04610169491525426</v>
      </c>
      <c r="E34" s="210">
        <f t="shared" si="4"/>
        <v>0.282362911090182</v>
      </c>
      <c r="F34" s="211">
        <f t="shared" si="5"/>
        <v>-0.0919283718507808</v>
      </c>
      <c r="G34" s="218">
        <f t="shared" si="11"/>
        <v>-0.09398305084745755</v>
      </c>
      <c r="H34" s="219">
        <f t="shared" si="6"/>
        <v>0.687589747608957</v>
      </c>
      <c r="I34" s="220">
        <f t="shared" si="7"/>
        <v>0.39438527710506077</v>
      </c>
      <c r="J34" s="221">
        <f t="shared" si="14"/>
        <v>-0.5177966101694911</v>
      </c>
      <c r="K34" s="222">
        <f t="shared" si="8"/>
        <v>0.8529271632224596</v>
      </c>
      <c r="L34" s="223">
        <f t="shared" si="9"/>
        <v>0.7962761048122723</v>
      </c>
    </row>
    <row r="35" spans="1:12" ht="12.75">
      <c r="A35" s="207">
        <f t="shared" si="12"/>
        <v>0.08084745762711865</v>
      </c>
      <c r="B35" s="208">
        <f t="shared" si="3"/>
        <v>0.1598728308184299</v>
      </c>
      <c r="C35" s="162">
        <f t="shared" si="13"/>
        <v>-0.14115933113467516</v>
      </c>
      <c r="D35" s="209">
        <f t="shared" si="10"/>
        <v>-0.02610169491525426</v>
      </c>
      <c r="E35" s="210">
        <f t="shared" si="4"/>
        <v>0.28490854910994196</v>
      </c>
      <c r="F35" s="211">
        <f t="shared" si="5"/>
        <v>-0.09275715052279</v>
      </c>
      <c r="G35" s="218">
        <f t="shared" si="11"/>
        <v>-0.043983050847457544</v>
      </c>
      <c r="H35" s="219">
        <f t="shared" si="6"/>
        <v>0.6925878760862731</v>
      </c>
      <c r="I35" s="220">
        <f t="shared" si="7"/>
        <v>0.3972520858255045</v>
      </c>
      <c r="J35" s="221">
        <f t="shared" si="14"/>
        <v>-0.4777966101694911</v>
      </c>
      <c r="K35" s="222">
        <f t="shared" si="8"/>
        <v>0.8759614572435659</v>
      </c>
      <c r="L35" s="223">
        <f t="shared" si="9"/>
        <v>0.8177804708485585</v>
      </c>
    </row>
    <row r="36" spans="1:12" ht="12.75">
      <c r="A36" s="207">
        <f t="shared" si="12"/>
        <v>0.10084745762711865</v>
      </c>
      <c r="B36" s="208">
        <f t="shared" si="3"/>
        <v>0.14807235977323235</v>
      </c>
      <c r="C36" s="162">
        <f t="shared" si="13"/>
        <v>-0.13074013363071652</v>
      </c>
      <c r="D36" s="209">
        <f t="shared" si="10"/>
        <v>-0.006101694915254259</v>
      </c>
      <c r="E36" s="210">
        <f t="shared" si="4"/>
        <v>0.28603662204784613</v>
      </c>
      <c r="F36" s="211">
        <f t="shared" si="5"/>
        <v>-0.09312441514727653</v>
      </c>
      <c r="G36" s="218">
        <f t="shared" si="11"/>
        <v>0.0060169491525424584</v>
      </c>
      <c r="H36" s="219">
        <f t="shared" si="6"/>
        <v>0.6939569663793574</v>
      </c>
      <c r="I36" s="220">
        <f t="shared" si="7"/>
        <v>0.3980373637568546</v>
      </c>
      <c r="J36" s="221">
        <f t="shared" si="14"/>
        <v>-0.4377966101694911</v>
      </c>
      <c r="K36" s="222">
        <f t="shared" si="8"/>
        <v>0.8966226649989564</v>
      </c>
      <c r="L36" s="223">
        <f t="shared" si="9"/>
        <v>0.8370693699967834</v>
      </c>
    </row>
    <row r="37" spans="1:12" ht="12.75">
      <c r="A37" s="207">
        <f t="shared" si="12"/>
        <v>0.12084745762711865</v>
      </c>
      <c r="B37" s="208">
        <f t="shared" si="3"/>
        <v>0.13225553078691574</v>
      </c>
      <c r="C37" s="162">
        <f t="shared" si="13"/>
        <v>-0.11677470255058695</v>
      </c>
      <c r="D37" s="209">
        <f t="shared" si="10"/>
        <v>0.013898305084745741</v>
      </c>
      <c r="E37" s="210">
        <f t="shared" si="4"/>
        <v>0.2857639182072372</v>
      </c>
      <c r="F37" s="211">
        <f t="shared" si="5"/>
        <v>-0.09303563146117609</v>
      </c>
      <c r="G37" s="218">
        <f t="shared" si="11"/>
        <v>0.05601694915254246</v>
      </c>
      <c r="H37" s="219">
        <f t="shared" si="6"/>
        <v>0.691718567244791</v>
      </c>
      <c r="I37" s="220">
        <f t="shared" si="7"/>
        <v>0.3967534707581187</v>
      </c>
      <c r="J37" s="221">
        <f t="shared" si="14"/>
        <v>-0.39779661016949114</v>
      </c>
      <c r="K37" s="222">
        <f t="shared" si="8"/>
        <v>0.9150715448550404</v>
      </c>
      <c r="L37" s="223">
        <f t="shared" si="9"/>
        <v>0.8542928831212218</v>
      </c>
    </row>
    <row r="38" spans="1:12" ht="12.75">
      <c r="A38" s="207">
        <f t="shared" si="12"/>
        <v>0.14084745762711864</v>
      </c>
      <c r="B38" s="208">
        <f t="shared" si="3"/>
        <v>0.11071416855418312</v>
      </c>
      <c r="C38" s="162">
        <f t="shared" si="13"/>
        <v>-0.09775480862029348</v>
      </c>
      <c r="D38" s="209">
        <f t="shared" si="10"/>
        <v>0.03389830508474574</v>
      </c>
      <c r="E38" s="210">
        <f t="shared" si="4"/>
        <v>0.2840864036622709</v>
      </c>
      <c r="F38" s="211">
        <f t="shared" si="5"/>
        <v>-0.09248948614669639</v>
      </c>
      <c r="G38" s="218">
        <f t="shared" si="11"/>
        <v>0.10601694915254246</v>
      </c>
      <c r="H38" s="219">
        <f t="shared" si="6"/>
        <v>0.6858373578013465</v>
      </c>
      <c r="I38" s="220">
        <f t="shared" si="7"/>
        <v>0.39338014760411366</v>
      </c>
      <c r="J38" s="221">
        <f t="shared" si="14"/>
        <v>-0.35779661016949116</v>
      </c>
      <c r="K38" s="222">
        <f t="shared" si="8"/>
        <v>0.9314395638026921</v>
      </c>
      <c r="L38" s="223">
        <f t="shared" si="9"/>
        <v>0.869573745231285</v>
      </c>
    </row>
    <row r="39" spans="1:12" ht="12.75">
      <c r="A39" s="207">
        <f t="shared" si="12"/>
        <v>0.16084745762711863</v>
      </c>
      <c r="B39" s="208">
        <f t="shared" si="3"/>
        <v>0.07889061296224874</v>
      </c>
      <c r="C39" s="162">
        <f t="shared" si="13"/>
        <v>-0.0696562768141828</v>
      </c>
      <c r="D39" s="209">
        <f t="shared" si="10"/>
        <v>0.053898305084745746</v>
      </c>
      <c r="E39" s="210">
        <f t="shared" si="4"/>
        <v>0.2809789183237292</v>
      </c>
      <c r="F39" s="211">
        <f t="shared" si="5"/>
        <v>-0.0914777878800247</v>
      </c>
      <c r="G39" s="218">
        <f t="shared" si="11"/>
        <v>0.15601694915254247</v>
      </c>
      <c r="H39" s="219">
        <f t="shared" si="6"/>
        <v>0.6762182979191541</v>
      </c>
      <c r="I39" s="220">
        <f t="shared" si="7"/>
        <v>0.3878628815158385</v>
      </c>
      <c r="J39" s="221">
        <f t="shared" si="14"/>
        <v>-0.3177966101694912</v>
      </c>
      <c r="K39" s="222">
        <f t="shared" si="8"/>
        <v>0.9458347582059504</v>
      </c>
      <c r="L39" s="223">
        <f t="shared" si="9"/>
        <v>0.8830128169617889</v>
      </c>
    </row>
    <row r="40" spans="1:12" ht="12.75">
      <c r="A40" s="224">
        <f>$C$5</f>
        <v>0.17915254237288136</v>
      </c>
      <c r="B40" s="225">
        <f t="shared" si="3"/>
        <v>0</v>
      </c>
      <c r="C40" s="226">
        <f>$E$5*SQRT(1-(A40/$C$5)^2)</f>
        <v>0</v>
      </c>
      <c r="D40" s="209">
        <f t="shared" si="10"/>
        <v>0.07389830508474575</v>
      </c>
      <c r="E40" s="210">
        <f t="shared" si="4"/>
        <v>0.2763932349732588</v>
      </c>
      <c r="F40" s="211">
        <f t="shared" si="5"/>
        <v>-0.08998483541468713</v>
      </c>
      <c r="G40" s="218">
        <f t="shared" si="11"/>
        <v>0.20601694915254248</v>
      </c>
      <c r="H40" s="219">
        <f t="shared" si="6"/>
        <v>0.662698643068947</v>
      </c>
      <c r="I40" s="220">
        <f t="shared" si="7"/>
        <v>0.3801083260661605</v>
      </c>
      <c r="J40" s="221">
        <f t="shared" si="14"/>
        <v>-0.2777966101694912</v>
      </c>
      <c r="K40" s="222">
        <f t="shared" si="8"/>
        <v>0.9583460328316009</v>
      </c>
      <c r="L40" s="223">
        <f t="shared" si="9"/>
        <v>0.8946930980628273</v>
      </c>
    </row>
    <row r="41" spans="1:12" ht="12.75">
      <c r="A41" s="115"/>
      <c r="B41" s="115"/>
      <c r="C41" s="115"/>
      <c r="D41" s="209">
        <f t="shared" si="10"/>
        <v>0.09389830508474575</v>
      </c>
      <c r="E41" s="210">
        <f t="shared" si="4"/>
        <v>0.2702541177033076</v>
      </c>
      <c r="F41" s="211">
        <f t="shared" si="5"/>
        <v>-0.08798613433511306</v>
      </c>
      <c r="G41" s="218">
        <f t="shared" si="11"/>
        <v>0.2560169491525425</v>
      </c>
      <c r="H41" s="219">
        <f t="shared" si="6"/>
        <v>0.6450331748136443</v>
      </c>
      <c r="I41" s="220">
        <f t="shared" si="7"/>
        <v>0.36997582973781146</v>
      </c>
      <c r="J41" s="221">
        <f t="shared" si="14"/>
        <v>-0.2377966101694912</v>
      </c>
      <c r="K41" s="222">
        <f t="shared" si="8"/>
        <v>0.9690463598082536</v>
      </c>
      <c r="L41" s="223">
        <f t="shared" si="9"/>
        <v>0.9046827138853503</v>
      </c>
    </row>
    <row r="42" spans="1:12" ht="12.75">
      <c r="A42" s="115"/>
      <c r="B42" s="115"/>
      <c r="C42" s="115"/>
      <c r="D42" s="209">
        <f t="shared" si="10"/>
        <v>0.11389830508474576</v>
      </c>
      <c r="E42" s="210">
        <f t="shared" si="4"/>
        <v>0.26245257844457043</v>
      </c>
      <c r="F42" s="211">
        <f t="shared" si="5"/>
        <v>-0.08544620159672095</v>
      </c>
      <c r="G42" s="218">
        <f t="shared" si="11"/>
        <v>0.30601694915254246</v>
      </c>
      <c r="H42" s="219">
        <f t="shared" si="6"/>
        <v>0.6228692492770174</v>
      </c>
      <c r="I42" s="220">
        <f t="shared" si="7"/>
        <v>0.35726312431296303</v>
      </c>
      <c r="J42" s="221">
        <f t="shared" si="14"/>
        <v>-0.19779661016949118</v>
      </c>
      <c r="K42" s="222">
        <f t="shared" si="8"/>
        <v>0.9779951821308663</v>
      </c>
      <c r="L42" s="223">
        <f t="shared" si="9"/>
        <v>0.9130371592459428</v>
      </c>
    </row>
    <row r="43" spans="1:12" ht="12.75">
      <c r="A43" s="115"/>
      <c r="B43" s="115"/>
      <c r="C43" s="115"/>
      <c r="D43" s="209">
        <f t="shared" si="10"/>
        <v>0.13389830508474576</v>
      </c>
      <c r="E43" s="210">
        <f t="shared" si="4"/>
        <v>0.2528347755527581</v>
      </c>
      <c r="F43" s="211">
        <f t="shared" si="5"/>
        <v>-0.08231495125930091</v>
      </c>
      <c r="G43" s="218">
        <f t="shared" si="11"/>
        <v>0.35601694915254245</v>
      </c>
      <c r="H43" s="219">
        <f t="shared" si="6"/>
        <v>0.5957049662204109</v>
      </c>
      <c r="I43" s="220">
        <f t="shared" si="7"/>
        <v>0.3416823316413236</v>
      </c>
      <c r="J43" s="221">
        <f t="shared" si="14"/>
        <v>-0.15779661016949117</v>
      </c>
      <c r="K43" s="222">
        <f t="shared" si="8"/>
        <v>0.9852402270942584</v>
      </c>
      <c r="L43" s="223">
        <f t="shared" si="9"/>
        <v>0.9198009914128576</v>
      </c>
    </row>
    <row r="44" spans="1:12" ht="12.75">
      <c r="A44" s="115"/>
      <c r="B44" s="115"/>
      <c r="C44" s="115"/>
      <c r="D44" s="209">
        <f t="shared" si="10"/>
        <v>0.15389830508474575</v>
      </c>
      <c r="E44" s="210">
        <f t="shared" si="4"/>
        <v>0.24118352249982528</v>
      </c>
      <c r="F44" s="211">
        <f t="shared" si="5"/>
        <v>-0.07852167430574426</v>
      </c>
      <c r="G44" s="218">
        <f t="shared" si="11"/>
        <v>0.40601694915254244</v>
      </c>
      <c r="H44" s="219">
        <f t="shared" si="6"/>
        <v>0.5628167657989647</v>
      </c>
      <c r="I44" s="220">
        <f t="shared" si="7"/>
        <v>0.32281843484559153</v>
      </c>
      <c r="J44" s="221">
        <f t="shared" si="14"/>
        <v>-0.11779661016949117</v>
      </c>
      <c r="K44" s="222">
        <f t="shared" si="8"/>
        <v>0.99081887037859</v>
      </c>
      <c r="L44" s="223">
        <f t="shared" si="9"/>
        <v>0.9250091035895197</v>
      </c>
    </row>
    <row r="45" spans="1:12" ht="12.75">
      <c r="A45" s="115"/>
      <c r="B45" s="115"/>
      <c r="C45" s="115"/>
      <c r="D45" s="209">
        <f t="shared" si="10"/>
        <v>0.17389830508474574</v>
      </c>
      <c r="E45" s="210">
        <f t="shared" si="4"/>
        <v>0.2271861776650021</v>
      </c>
      <c r="F45" s="211">
        <f t="shared" si="5"/>
        <v>-0.07396458458057045</v>
      </c>
      <c r="G45" s="218">
        <f t="shared" si="11"/>
        <v>0.45601694915254243</v>
      </c>
      <c r="H45" s="219">
        <f t="shared" si="6"/>
        <v>0.5231261960073806</v>
      </c>
      <c r="I45" s="220">
        <f t="shared" si="7"/>
        <v>0.3000528592677923</v>
      </c>
      <c r="J45" s="221">
        <f t="shared" si="14"/>
        <v>-0.07779661016949116</v>
      </c>
      <c r="K45" s="222">
        <f t="shared" si="8"/>
        <v>0.9947591480915692</v>
      </c>
      <c r="L45" s="223">
        <f t="shared" si="9"/>
        <v>0.9286876697373203</v>
      </c>
    </row>
    <row r="46" spans="1:12" ht="12.75">
      <c r="A46" s="115"/>
      <c r="B46" s="115"/>
      <c r="C46" s="115"/>
      <c r="D46" s="209">
        <f t="shared" si="10"/>
        <v>0.19389830508474573</v>
      </c>
      <c r="E46" s="210">
        <f t="shared" si="4"/>
        <v>0.21037496789932988</v>
      </c>
      <c r="F46" s="211">
        <f t="shared" si="5"/>
        <v>-0.06849139004296842</v>
      </c>
      <c r="G46" s="218">
        <f t="shared" si="11"/>
        <v>0.5060169491525425</v>
      </c>
      <c r="H46" s="219">
        <f t="shared" si="6"/>
        <v>0.4749308602669426</v>
      </c>
      <c r="I46" s="220">
        <f t="shared" si="7"/>
        <v>0.2724091503450496</v>
      </c>
      <c r="J46" s="221">
        <f t="shared" si="14"/>
        <v>-0.03779661016949116</v>
      </c>
      <c r="K46" s="222">
        <f t="shared" si="8"/>
        <v>0.9970804839758041</v>
      </c>
      <c r="L46" s="223">
        <f t="shared" si="9"/>
        <v>0.9308548234821675</v>
      </c>
    </row>
    <row r="47" spans="1:12" ht="12.75">
      <c r="A47" s="115"/>
      <c r="B47" s="115"/>
      <c r="C47" s="115"/>
      <c r="D47" s="209">
        <f t="shared" si="10"/>
        <v>0.21389830508474572</v>
      </c>
      <c r="E47" s="210">
        <f t="shared" si="4"/>
        <v>0.19000446025094844</v>
      </c>
      <c r="F47" s="211">
        <f t="shared" si="5"/>
        <v>-0.061859401462529474</v>
      </c>
      <c r="G47" s="218">
        <f t="shared" si="11"/>
        <v>0.5560169491525425</v>
      </c>
      <c r="H47" s="219">
        <f t="shared" si="6"/>
        <v>0.41528017905824</v>
      </c>
      <c r="I47" s="220">
        <f t="shared" si="7"/>
        <v>0.2381949251914496</v>
      </c>
      <c r="J47" s="221">
        <f t="shared" si="14"/>
        <v>0.0022033898305088423</v>
      </c>
      <c r="K47" s="222">
        <f t="shared" si="8"/>
        <v>0.9977941773426937</v>
      </c>
      <c r="L47" s="223">
        <f t="shared" si="9"/>
        <v>0.9315211136400167</v>
      </c>
    </row>
    <row r="48" spans="3:12" ht="12.75">
      <c r="C48" s="115"/>
      <c r="D48" s="209">
        <f t="shared" si="10"/>
        <v>0.2338983050847457</v>
      </c>
      <c r="E48" s="210">
        <f t="shared" si="4"/>
        <v>0.16475971204109466</v>
      </c>
      <c r="F48" s="211">
        <f t="shared" si="5"/>
        <v>-0.05364051537811177</v>
      </c>
      <c r="G48" s="218">
        <f t="shared" si="11"/>
        <v>0.6060169491525426</v>
      </c>
      <c r="H48" s="219">
        <f t="shared" si="6"/>
        <v>0.33816553964499335</v>
      </c>
      <c r="I48" s="220">
        <f t="shared" si="7"/>
        <v>0.1939637851263037</v>
      </c>
      <c r="J48" s="221">
        <f t="shared" si="14"/>
        <v>0.04220338983050884</v>
      </c>
      <c r="K48" s="222">
        <f t="shared" si="8"/>
        <v>0.9969036809805359</v>
      </c>
      <c r="L48" s="223">
        <f t="shared" si="9"/>
        <v>0.9306897636664392</v>
      </c>
    </row>
    <row r="49" spans="1:12" ht="12.75">
      <c r="A49" s="115"/>
      <c r="C49" s="115"/>
      <c r="D49" s="209">
        <f t="shared" si="10"/>
        <v>0.2538983050847457</v>
      </c>
      <c r="E49" s="210">
        <f t="shared" si="4"/>
        <v>0.13187050659064978</v>
      </c>
      <c r="F49" s="211">
        <f t="shared" si="5"/>
        <v>-0.04293283745804816</v>
      </c>
      <c r="G49" s="218">
        <f t="shared" si="11"/>
        <v>0.6560169491525426</v>
      </c>
      <c r="H49" s="219">
        <f t="shared" si="6"/>
        <v>0.22639398686390771</v>
      </c>
      <c r="I49" s="220">
        <f t="shared" si="7"/>
        <v>0.1298542561967057</v>
      </c>
      <c r="J49" s="221">
        <f t="shared" si="14"/>
        <v>0.08220338983050884</v>
      </c>
      <c r="K49" s="222">
        <f t="shared" si="8"/>
        <v>0.994404685209247</v>
      </c>
      <c r="L49" s="223">
        <f t="shared" si="9"/>
        <v>0.9283567501284645</v>
      </c>
    </row>
    <row r="50" spans="1:12" ht="12.75">
      <c r="A50" s="115"/>
      <c r="B50" s="115"/>
      <c r="C50" s="115"/>
      <c r="D50" s="209">
        <f t="shared" si="10"/>
        <v>0.2738983050847457</v>
      </c>
      <c r="E50" s="210">
        <f t="shared" si="4"/>
        <v>0.08266739565926078</v>
      </c>
      <c r="F50" s="211">
        <f t="shared" si="5"/>
        <v>-0.026913871438565086</v>
      </c>
      <c r="G50" s="227">
        <f>$C$14</f>
        <v>0.6939830508474576</v>
      </c>
      <c r="H50" s="228">
        <f t="shared" si="6"/>
        <v>0</v>
      </c>
      <c r="I50" s="229">
        <f t="shared" si="7"/>
        <v>0</v>
      </c>
      <c r="J50" s="221">
        <f t="shared" si="14"/>
        <v>0.12220338983050885</v>
      </c>
      <c r="K50" s="222">
        <f t="shared" si="8"/>
        <v>0.9902850129026799</v>
      </c>
      <c r="L50" s="223">
        <f t="shared" si="9"/>
        <v>0.9245107046994708</v>
      </c>
    </row>
    <row r="51" spans="1:12" ht="12.75">
      <c r="A51" s="115"/>
      <c r="B51" s="115"/>
      <c r="C51" s="115"/>
      <c r="D51" s="230">
        <f>$C$10</f>
        <v>0.2861016949152542</v>
      </c>
      <c r="E51" s="231">
        <f t="shared" si="4"/>
        <v>0</v>
      </c>
      <c r="F51" s="232">
        <f t="shared" si="5"/>
        <v>0</v>
      </c>
      <c r="G51" s="233"/>
      <c r="H51" s="66"/>
      <c r="I51" s="66"/>
      <c r="J51" s="221">
        <f t="shared" si="14"/>
        <v>0.16220338983050886</v>
      </c>
      <c r="K51" s="222">
        <f t="shared" si="8"/>
        <v>0.9845243194524045</v>
      </c>
      <c r="L51" s="223">
        <f t="shared" si="9"/>
        <v>0.9191326340512431</v>
      </c>
    </row>
    <row r="52" spans="1:12" ht="12.75">
      <c r="A52" s="115"/>
      <c r="B52" s="115"/>
      <c r="C52" s="115"/>
      <c r="G52" s="6"/>
      <c r="H52" s="66"/>
      <c r="I52" s="66"/>
      <c r="J52" s="221">
        <f t="shared" si="14"/>
        <v>0.20220338983050887</v>
      </c>
      <c r="K52" s="222">
        <f t="shared" si="8"/>
        <v>0.9770935801686446</v>
      </c>
      <c r="L52" s="223">
        <f t="shared" si="9"/>
        <v>0.9121954413015211</v>
      </c>
    </row>
    <row r="53" spans="1:12" ht="12.75">
      <c r="A53" s="234"/>
      <c r="B53" s="135"/>
      <c r="C53" s="135"/>
      <c r="D53" s="135"/>
      <c r="E53" s="135"/>
      <c r="F53" s="135"/>
      <c r="G53" s="66"/>
      <c r="H53" s="66"/>
      <c r="I53" s="66"/>
      <c r="J53" s="221">
        <f t="shared" si="14"/>
        <v>0.24220338983050888</v>
      </c>
      <c r="K53" s="222">
        <f t="shared" si="8"/>
        <v>0.9679543342639355</v>
      </c>
      <c r="L53" s="223">
        <f t="shared" si="9"/>
        <v>0.90366322021194</v>
      </c>
    </row>
    <row r="54" spans="1:12" ht="12.75">
      <c r="A54" s="122"/>
      <c r="B54" s="115"/>
      <c r="C54" s="115"/>
      <c r="D54" s="115"/>
      <c r="E54" s="115"/>
      <c r="F54" s="115"/>
      <c r="G54" s="115"/>
      <c r="H54" s="115"/>
      <c r="I54" s="115"/>
      <c r="J54" s="221">
        <f t="shared" si="14"/>
        <v>0.28220338983050886</v>
      </c>
      <c r="K54" s="222">
        <f t="shared" si="8"/>
        <v>0.9570576377804516</v>
      </c>
      <c r="L54" s="223">
        <f t="shared" si="9"/>
        <v>0.8934902776614784</v>
      </c>
    </row>
    <row r="55" spans="1:12" ht="12.75">
      <c r="A55" s="122"/>
      <c r="B55" s="115"/>
      <c r="C55" s="115"/>
      <c r="D55" s="115"/>
      <c r="E55" s="115"/>
      <c r="F55" s="115"/>
      <c r="G55" s="115"/>
      <c r="H55" s="115"/>
      <c r="I55" s="115"/>
      <c r="J55" s="221">
        <f t="shared" si="14"/>
        <v>0.32220338983050884</v>
      </c>
      <c r="K55" s="222">
        <f t="shared" si="8"/>
        <v>0.9443426554209321</v>
      </c>
      <c r="L55" s="223">
        <f t="shared" si="9"/>
        <v>0.8816198190073739</v>
      </c>
    </row>
    <row r="56" spans="1:12" ht="12.75">
      <c r="A56" s="122"/>
      <c r="B56" s="115"/>
      <c r="C56" s="115"/>
      <c r="D56" s="115"/>
      <c r="E56" s="115"/>
      <c r="F56" s="115"/>
      <c r="G56" s="115"/>
      <c r="H56" s="115"/>
      <c r="I56" s="115"/>
      <c r="J56" s="221">
        <f t="shared" si="14"/>
        <v>0.3622033898305088</v>
      </c>
      <c r="K56" s="222">
        <f t="shared" si="8"/>
        <v>0.9297347899594898</v>
      </c>
      <c r="L56" s="223">
        <f t="shared" si="9"/>
        <v>0.8679822017396669</v>
      </c>
    </row>
    <row r="57" spans="1:12" ht="12.75">
      <c r="A57" s="122"/>
      <c r="B57" s="115"/>
      <c r="C57" s="115"/>
      <c r="D57" s="115"/>
      <c r="E57" s="115"/>
      <c r="F57" s="115"/>
      <c r="G57" s="115"/>
      <c r="H57" s="115"/>
      <c r="I57" s="115"/>
      <c r="J57" s="221">
        <f t="shared" si="14"/>
        <v>0.4022033898305088</v>
      </c>
      <c r="K57" s="222">
        <f t="shared" si="8"/>
        <v>0.9131432026109464</v>
      </c>
      <c r="L57" s="223">
        <f t="shared" si="9"/>
        <v>0.8524926205465481</v>
      </c>
    </row>
    <row r="58" spans="1:12" ht="12.75">
      <c r="A58" s="122"/>
      <c r="B58" s="115"/>
      <c r="C58" s="115"/>
      <c r="D58" s="115"/>
      <c r="E58" s="115"/>
      <c r="F58" s="115"/>
      <c r="G58" s="115"/>
      <c r="H58" s="235"/>
      <c r="I58" s="115"/>
      <c r="J58" s="221">
        <f t="shared" si="14"/>
        <v>0.4422033898305088</v>
      </c>
      <c r="K58" s="222">
        <f t="shared" si="8"/>
        <v>0.8944575100518388</v>
      </c>
      <c r="L58" s="223">
        <f t="shared" si="9"/>
        <v>0.8350480237178208</v>
      </c>
    </row>
    <row r="59" spans="1:12" ht="12.75">
      <c r="A59" s="122"/>
      <c r="B59" s="115"/>
      <c r="C59" s="115"/>
      <c r="D59" s="115"/>
      <c r="E59" s="115"/>
      <c r="F59" s="115"/>
      <c r="G59" s="115"/>
      <c r="H59" s="235"/>
      <c r="I59" s="115"/>
      <c r="J59" s="221">
        <f t="shared" si="14"/>
        <v>0.48220338983050876</v>
      </c>
      <c r="K59" s="222">
        <f t="shared" si="8"/>
        <v>0.8735433395669013</v>
      </c>
      <c r="L59" s="223">
        <f t="shared" si="9"/>
        <v>0.8155229635166575</v>
      </c>
    </row>
    <row r="60" spans="1:12" ht="12.75">
      <c r="A60" s="122"/>
      <c r="B60" s="115"/>
      <c r="C60" s="115"/>
      <c r="D60" s="115"/>
      <c r="E60" s="115"/>
      <c r="F60" s="115"/>
      <c r="G60" s="115"/>
      <c r="H60" s="235"/>
      <c r="I60" s="115"/>
      <c r="J60" s="221">
        <f t="shared" si="14"/>
        <v>0.5222033898305087</v>
      </c>
      <c r="K60" s="222">
        <f t="shared" si="8"/>
        <v>0.8502362582925136</v>
      </c>
      <c r="L60" s="223">
        <f t="shared" si="9"/>
        <v>0.7937639286401098</v>
      </c>
    </row>
    <row r="61" spans="1:12" ht="12.75">
      <c r="A61" s="122"/>
      <c r="B61" s="115"/>
      <c r="C61" s="115"/>
      <c r="D61" s="115"/>
      <c r="E61" s="115"/>
      <c r="F61" s="115"/>
      <c r="G61" s="115"/>
      <c r="H61" s="235"/>
      <c r="I61" s="115"/>
      <c r="J61" s="221">
        <f t="shared" si="14"/>
        <v>0.5622033898305088</v>
      </c>
      <c r="K61" s="222">
        <f t="shared" si="8"/>
        <v>0.8243333207682516</v>
      </c>
      <c r="L61" s="223">
        <f t="shared" si="9"/>
        <v>0.7695814531786789</v>
      </c>
    </row>
    <row r="62" spans="1:12" ht="12.75">
      <c r="A62" s="122"/>
      <c r="B62" s="115"/>
      <c r="C62" s="115"/>
      <c r="D62" s="115"/>
      <c r="E62" s="115"/>
      <c r="F62" s="115"/>
      <c r="G62" s="115"/>
      <c r="H62" s="235"/>
      <c r="I62" s="115"/>
      <c r="J62" s="221">
        <f t="shared" si="14"/>
        <v>0.6022033898305088</v>
      </c>
      <c r="K62" s="222">
        <f t="shared" si="8"/>
        <v>0.795581015700081</v>
      </c>
      <c r="L62" s="223">
        <f t="shared" si="9"/>
        <v>0.7427388639503585</v>
      </c>
    </row>
    <row r="63" spans="1:12" ht="12.75">
      <c r="A63" s="122"/>
      <c r="B63" s="115"/>
      <c r="C63" s="115"/>
      <c r="D63" s="115"/>
      <c r="E63" s="115"/>
      <c r="F63" s="115"/>
      <c r="G63" s="115"/>
      <c r="H63" s="235"/>
      <c r="I63" s="115"/>
      <c r="J63" s="221">
        <f t="shared" si="14"/>
        <v>0.6422033898305088</v>
      </c>
      <c r="K63" s="222">
        <f t="shared" si="8"/>
        <v>0.7636575681258791</v>
      </c>
      <c r="L63" s="223">
        <f t="shared" si="9"/>
        <v>0.7129357581487742</v>
      </c>
    </row>
    <row r="64" spans="1:12" ht="12.75">
      <c r="A64" s="122"/>
      <c r="B64" s="115"/>
      <c r="C64" s="115"/>
      <c r="D64" s="115"/>
      <c r="E64" s="115"/>
      <c r="F64" s="115"/>
      <c r="G64" s="115"/>
      <c r="H64" s="235"/>
      <c r="I64" s="115"/>
      <c r="J64" s="221">
        <f t="shared" si="14"/>
        <v>0.6822033898305089</v>
      </c>
      <c r="K64" s="222">
        <f t="shared" si="8"/>
        <v>0.728146008826177</v>
      </c>
      <c r="L64" s="223">
        <f t="shared" si="9"/>
        <v>0.6797828614721775</v>
      </c>
    </row>
    <row r="65" spans="1:12" ht="12.75">
      <c r="A65" s="236"/>
      <c r="B65" s="235"/>
      <c r="C65" s="235"/>
      <c r="D65" s="235"/>
      <c r="E65" s="235"/>
      <c r="F65" s="235"/>
      <c r="G65" s="115"/>
      <c r="H65" s="235"/>
      <c r="I65" s="235"/>
      <c r="J65" s="221">
        <f t="shared" si="14"/>
        <v>0.7222033898305089</v>
      </c>
      <c r="K65" s="222">
        <f t="shared" si="8"/>
        <v>0.6884913499696639</v>
      </c>
      <c r="L65" s="223">
        <f t="shared" si="9"/>
        <v>0.642762048144313</v>
      </c>
    </row>
    <row r="66" spans="1:12" ht="12.75">
      <c r="A66" s="236"/>
      <c r="B66" s="235"/>
      <c r="C66" s="235"/>
      <c r="D66" s="235"/>
      <c r="E66" s="235"/>
      <c r="F66" s="235"/>
      <c r="G66" s="115"/>
      <c r="H66" s="235"/>
      <c r="I66" s="235"/>
      <c r="J66" s="221">
        <f t="shared" si="14"/>
        <v>0.762203389830509</v>
      </c>
      <c r="K66" s="222">
        <f t="shared" si="8"/>
        <v>0.6439286201098764</v>
      </c>
      <c r="L66" s="223">
        <f t="shared" si="9"/>
        <v>0.6011591557959329</v>
      </c>
    </row>
    <row r="67" spans="1:12" ht="12.75">
      <c r="A67" s="236"/>
      <c r="B67" s="235"/>
      <c r="C67" s="235"/>
      <c r="D67" s="235"/>
      <c r="E67" s="235"/>
      <c r="F67" s="235"/>
      <c r="G67" s="115"/>
      <c r="H67" s="235"/>
      <c r="I67" s="235"/>
      <c r="J67" s="221">
        <f t="shared" si="14"/>
        <v>0.802203389830509</v>
      </c>
      <c r="K67" s="222">
        <f t="shared" si="8"/>
        <v>0.5933530117983464</v>
      </c>
      <c r="L67" s="223">
        <f t="shared" si="9"/>
        <v>0.5539427578180994</v>
      </c>
    </row>
    <row r="68" spans="1:12" ht="12.75">
      <c r="A68" s="236"/>
      <c r="B68" s="235"/>
      <c r="C68" s="235"/>
      <c r="D68" s="235"/>
      <c r="E68" s="235"/>
      <c r="F68" s="235"/>
      <c r="G68" s="115"/>
      <c r="H68" s="235"/>
      <c r="I68" s="235"/>
      <c r="J68" s="221">
        <f t="shared" si="14"/>
        <v>0.842203389830509</v>
      </c>
      <c r="K68" s="222">
        <f t="shared" si="8"/>
        <v>0.5350621696809893</v>
      </c>
      <c r="L68" s="223">
        <f t="shared" si="9"/>
        <v>0.4995235685732961</v>
      </c>
    </row>
    <row r="69" spans="1:12" ht="12.75">
      <c r="A69" s="236"/>
      <c r="B69" s="235"/>
      <c r="C69" s="235"/>
      <c r="D69" s="235"/>
      <c r="E69" s="235"/>
      <c r="F69" s="235"/>
      <c r="G69" s="115"/>
      <c r="H69" s="235"/>
      <c r="I69" s="235"/>
      <c r="J69" s="221">
        <f t="shared" si="14"/>
        <v>0.882203389830509</v>
      </c>
      <c r="K69" s="222">
        <f t="shared" si="8"/>
        <v>0.46617084232852557</v>
      </c>
      <c r="L69" s="223">
        <f t="shared" si="9"/>
        <v>0.4352079738016248</v>
      </c>
    </row>
    <row r="70" spans="1:12" ht="12.75">
      <c r="A70" s="236"/>
      <c r="B70" s="235"/>
      <c r="C70" s="235"/>
      <c r="D70" s="235"/>
      <c r="E70" s="235"/>
      <c r="F70" s="235"/>
      <c r="G70" s="235"/>
      <c r="H70" s="235"/>
      <c r="I70" s="235"/>
      <c r="J70" s="221">
        <f t="shared" si="14"/>
        <v>0.9222033898305091</v>
      </c>
      <c r="K70" s="222">
        <f t="shared" si="8"/>
        <v>0.3809711052702636</v>
      </c>
      <c r="L70" s="223">
        <f t="shared" si="9"/>
        <v>0.35566716694132317</v>
      </c>
    </row>
    <row r="71" spans="1:12" ht="12.75">
      <c r="A71" s="237"/>
      <c r="B71" s="58"/>
      <c r="C71" s="58"/>
      <c r="D71" s="58"/>
      <c r="E71" s="58"/>
      <c r="F71" s="58"/>
      <c r="G71" s="58"/>
      <c r="H71" s="58"/>
      <c r="I71" s="58"/>
      <c r="J71" s="221">
        <f t="shared" si="14"/>
        <v>0.9622033898305091</v>
      </c>
      <c r="K71" s="222">
        <f t="shared" si="8"/>
        <v>0.26412631800789094</v>
      </c>
      <c r="L71" s="223">
        <f t="shared" si="9"/>
        <v>0.24658316061494237</v>
      </c>
    </row>
    <row r="72" spans="1:12" ht="12.75">
      <c r="A72" s="237"/>
      <c r="B72" s="58"/>
      <c r="C72" s="58"/>
      <c r="D72" s="58"/>
      <c r="E72" s="58"/>
      <c r="F72" s="58"/>
      <c r="G72" s="58"/>
      <c r="H72" s="58"/>
      <c r="I72" s="58"/>
      <c r="J72" s="238">
        <f>$C$16</f>
        <v>0.9977966101694915</v>
      </c>
      <c r="K72" s="239">
        <f t="shared" si="8"/>
        <v>0</v>
      </c>
      <c r="L72" s="240">
        <f t="shared" si="9"/>
        <v>0</v>
      </c>
    </row>
    <row r="73" spans="1:10" ht="12.75">
      <c r="A73" s="237"/>
      <c r="B73" s="58"/>
      <c r="C73" s="58"/>
      <c r="D73" s="58"/>
      <c r="E73" s="58"/>
      <c r="F73" s="58"/>
      <c r="G73" s="58"/>
      <c r="H73" s="58"/>
      <c r="I73" s="58"/>
      <c r="J73" s="115"/>
    </row>
    <row r="74" spans="1:10" ht="12.75">
      <c r="A74" s="237"/>
      <c r="B74" s="58"/>
      <c r="C74" s="58"/>
      <c r="D74" s="58"/>
      <c r="E74" s="58"/>
      <c r="F74" s="58"/>
      <c r="G74" s="58"/>
      <c r="H74" s="58"/>
      <c r="I74" s="58"/>
      <c r="J74" s="115"/>
    </row>
    <row r="75" spans="1:10" ht="12.75">
      <c r="A75" s="237"/>
      <c r="B75" s="58"/>
      <c r="C75" s="58"/>
      <c r="D75" s="58"/>
      <c r="E75" s="58"/>
      <c r="F75" s="58"/>
      <c r="G75" s="58"/>
      <c r="H75" s="58"/>
      <c r="I75" s="58"/>
      <c r="J75" s="115"/>
    </row>
    <row r="76" spans="1:10" ht="12.75">
      <c r="A76" s="237"/>
      <c r="B76" s="58"/>
      <c r="C76" s="58"/>
      <c r="D76" s="58"/>
      <c r="E76" s="58"/>
      <c r="F76" s="58"/>
      <c r="G76" s="58"/>
      <c r="H76" s="58"/>
      <c r="I76" s="58"/>
      <c r="J76" s="115"/>
    </row>
    <row r="77" spans="1:10" ht="12.75">
      <c r="A77" s="237"/>
      <c r="B77" s="58"/>
      <c r="C77" s="58"/>
      <c r="D77" s="58"/>
      <c r="E77" s="58"/>
      <c r="F77" s="58"/>
      <c r="G77" s="58"/>
      <c r="H77" s="58"/>
      <c r="I77" s="58"/>
      <c r="J77" s="115"/>
    </row>
    <row r="78" spans="1:10" ht="12.75">
      <c r="A78" s="237"/>
      <c r="B78" s="58"/>
      <c r="C78" s="58"/>
      <c r="D78" s="58"/>
      <c r="E78" s="58"/>
      <c r="F78" s="58"/>
      <c r="G78" s="58"/>
      <c r="H78" s="58"/>
      <c r="I78" s="58"/>
      <c r="J78" s="115"/>
    </row>
    <row r="79" spans="1:10" ht="12.75">
      <c r="A79" s="237"/>
      <c r="B79" s="58"/>
      <c r="C79" s="58"/>
      <c r="D79" s="58"/>
      <c r="E79" s="58"/>
      <c r="F79" s="58"/>
      <c r="G79" s="58"/>
      <c r="H79" s="58"/>
      <c r="I79" s="58"/>
      <c r="J79" s="115"/>
    </row>
    <row r="80" spans="1:10" ht="12.75">
      <c r="A80" s="237"/>
      <c r="B80" s="58"/>
      <c r="C80" s="58"/>
      <c r="D80" s="58"/>
      <c r="E80" s="58"/>
      <c r="F80" s="58"/>
      <c r="G80" s="58"/>
      <c r="H80" s="58"/>
      <c r="I80" s="58"/>
      <c r="J80" s="115"/>
    </row>
    <row r="81" spans="1:10" ht="12.75">
      <c r="A81" s="237"/>
      <c r="B81" s="58"/>
      <c r="C81" s="58"/>
      <c r="D81" s="58"/>
      <c r="E81" s="58"/>
      <c r="F81" s="58"/>
      <c r="G81" s="58"/>
      <c r="H81" s="58"/>
      <c r="I81" s="58"/>
      <c r="J81" s="115"/>
    </row>
    <row r="82" spans="1:10" ht="12.75">
      <c r="A82" s="237"/>
      <c r="B82" s="58"/>
      <c r="C82" s="58"/>
      <c r="D82" s="58"/>
      <c r="E82" s="58"/>
      <c r="F82" s="58"/>
      <c r="G82" s="58"/>
      <c r="H82" s="58"/>
      <c r="I82" s="58"/>
      <c r="J82" s="115"/>
    </row>
    <row r="83" spans="1:10" ht="12.75">
      <c r="A83" s="237"/>
      <c r="B83" s="58"/>
      <c r="C83" s="58"/>
      <c r="D83" s="58"/>
      <c r="E83" s="58"/>
      <c r="F83" s="58"/>
      <c r="G83" s="58"/>
      <c r="H83" s="58"/>
      <c r="I83" s="58"/>
      <c r="J83" s="115"/>
    </row>
    <row r="84" spans="1:10" ht="12.75">
      <c r="A84" s="237"/>
      <c r="B84" s="58"/>
      <c r="C84" s="58"/>
      <c r="D84" s="58"/>
      <c r="E84" s="58"/>
      <c r="F84" s="58"/>
      <c r="G84" s="58"/>
      <c r="H84" s="58"/>
      <c r="I84" s="58"/>
      <c r="J84" s="115"/>
    </row>
    <row r="85" spans="1:10" ht="12.75">
      <c r="A85" s="237"/>
      <c r="B85" s="58"/>
      <c r="C85" s="58"/>
      <c r="D85" s="58"/>
      <c r="E85" s="58"/>
      <c r="F85" s="58"/>
      <c r="G85" s="58"/>
      <c r="H85" s="58"/>
      <c r="I85" s="58"/>
      <c r="J85" s="115"/>
    </row>
    <row r="86" spans="1:10" ht="12.75">
      <c r="A86" s="237"/>
      <c r="B86" s="58"/>
      <c r="C86" s="58"/>
      <c r="D86" s="58"/>
      <c r="E86" s="58"/>
      <c r="F86" s="58"/>
      <c r="G86" s="58"/>
      <c r="H86" s="58"/>
      <c r="I86" s="58"/>
      <c r="J86" s="115"/>
    </row>
    <row r="87" spans="1:10" ht="12.75">
      <c r="A87" s="237"/>
      <c r="B87" s="58"/>
      <c r="C87" s="58"/>
      <c r="D87" s="58"/>
      <c r="E87" s="58"/>
      <c r="F87" s="58"/>
      <c r="G87" s="58"/>
      <c r="H87" s="58"/>
      <c r="I87" s="58"/>
      <c r="J87" s="115"/>
    </row>
    <row r="88" spans="1:10" ht="12.75">
      <c r="A88" s="237"/>
      <c r="B88" s="58"/>
      <c r="C88" s="58"/>
      <c r="D88" s="58"/>
      <c r="E88" s="58"/>
      <c r="F88" s="58"/>
      <c r="G88" s="58"/>
      <c r="H88" s="58"/>
      <c r="I88" s="58"/>
      <c r="J88" s="115"/>
    </row>
    <row r="89" spans="1:10" ht="12.75">
      <c r="A89" s="237"/>
      <c r="B89" s="58"/>
      <c r="C89" s="58"/>
      <c r="D89" s="58"/>
      <c r="E89" s="58"/>
      <c r="F89" s="58"/>
      <c r="G89" s="58"/>
      <c r="H89" s="58"/>
      <c r="I89" s="58"/>
      <c r="J89" s="115"/>
    </row>
    <row r="90" spans="1:10" ht="12.75">
      <c r="A90" s="237"/>
      <c r="B90" s="58"/>
      <c r="C90" s="58"/>
      <c r="D90" s="58"/>
      <c r="E90" s="58"/>
      <c r="F90" s="58"/>
      <c r="G90" s="58"/>
      <c r="H90" s="58"/>
      <c r="I90" s="58"/>
      <c r="J90" s="115"/>
    </row>
    <row r="91" spans="1:10" ht="12.75">
      <c r="A91" s="237"/>
      <c r="B91" s="58"/>
      <c r="C91" s="58"/>
      <c r="D91" s="58"/>
      <c r="E91" s="58"/>
      <c r="F91" s="58"/>
      <c r="G91" s="58"/>
      <c r="H91" s="58"/>
      <c r="I91" s="58"/>
      <c r="J91" s="115"/>
    </row>
    <row r="92" spans="1:10" ht="12.75">
      <c r="A92" s="237"/>
      <c r="B92" s="58"/>
      <c r="C92" s="58"/>
      <c r="D92" s="58"/>
      <c r="E92" s="58"/>
      <c r="F92" s="58"/>
      <c r="G92" s="58"/>
      <c r="H92" s="58"/>
      <c r="I92" s="58"/>
      <c r="J92" s="115"/>
    </row>
    <row r="93" spans="1:10" ht="12.75">
      <c r="A93" s="237"/>
      <c r="B93" s="58"/>
      <c r="C93" s="58"/>
      <c r="D93" s="58"/>
      <c r="E93" s="58"/>
      <c r="F93" s="58"/>
      <c r="G93" s="58"/>
      <c r="H93" s="58"/>
      <c r="I93" s="58"/>
      <c r="J93" s="115"/>
    </row>
    <row r="94" spans="1:10" ht="12.75">
      <c r="A94" s="237"/>
      <c r="B94" s="58"/>
      <c r="C94" s="58"/>
      <c r="D94" s="58"/>
      <c r="E94" s="58"/>
      <c r="F94" s="58"/>
      <c r="G94" s="58"/>
      <c r="H94" s="58"/>
      <c r="I94" s="58"/>
      <c r="J94" s="115"/>
    </row>
    <row r="95" spans="1:10" ht="12.75">
      <c r="A95" s="58"/>
      <c r="B95" s="58"/>
      <c r="C95" s="58"/>
      <c r="D95" s="58"/>
      <c r="E95" s="58"/>
      <c r="F95" s="58"/>
      <c r="G95" s="58"/>
      <c r="H95" s="58"/>
      <c r="I95" s="58"/>
      <c r="J95" s="115"/>
    </row>
    <row r="96" spans="1:10" ht="12.75">
      <c r="A96" s="58"/>
      <c r="B96" s="58"/>
      <c r="C96" s="58"/>
      <c r="D96" s="58"/>
      <c r="E96" s="58"/>
      <c r="F96" s="58"/>
      <c r="G96" s="58"/>
      <c r="H96" s="58"/>
      <c r="I96" s="58"/>
      <c r="J96" s="115"/>
    </row>
    <row r="97" spans="9:10" ht="12.75">
      <c r="I97" s="58"/>
      <c r="J97" s="115"/>
    </row>
    <row r="98" ht="12.75">
      <c r="J98" s="115"/>
    </row>
    <row r="99" ht="12.75">
      <c r="J99" s="115"/>
    </row>
    <row r="100" spans="3:10" ht="12.75">
      <c r="C100" s="115"/>
      <c r="D100" s="58"/>
      <c r="J100" s="58"/>
    </row>
    <row r="101" spans="3:10" ht="12.75">
      <c r="C101" s="115"/>
      <c r="D101" s="58"/>
      <c r="J101" s="58"/>
    </row>
    <row r="102" spans="3:10" ht="12.75">
      <c r="C102" s="115"/>
      <c r="D102" s="58"/>
      <c r="J102" s="58"/>
    </row>
    <row r="103" spans="3:10" ht="12.75">
      <c r="C103" s="115"/>
      <c r="D103" s="58"/>
      <c r="J103" s="58"/>
    </row>
    <row r="104" spans="3:10" ht="12.75">
      <c r="C104" s="115"/>
      <c r="D104" s="58"/>
      <c r="J104" s="58"/>
    </row>
    <row r="105" spans="3:10" ht="12.75">
      <c r="C105" s="115"/>
      <c r="D105" s="58"/>
      <c r="J105" s="58"/>
    </row>
    <row r="106" spans="3:10" ht="12.75">
      <c r="C106" s="115"/>
      <c r="D106" s="58"/>
      <c r="J106" s="58"/>
    </row>
    <row r="107" spans="3:10" ht="12.75">
      <c r="C107" s="115"/>
      <c r="D107" s="58"/>
      <c r="J107" s="58"/>
    </row>
    <row r="108" spans="3:10" ht="12.75">
      <c r="C108" s="115"/>
      <c r="D108" s="58"/>
      <c r="J108" s="58"/>
    </row>
    <row r="109" spans="3:10" ht="12.75">
      <c r="C109" s="115"/>
      <c r="D109" s="58"/>
      <c r="J109" s="58"/>
    </row>
    <row r="110" spans="3:10" ht="12.75">
      <c r="C110" s="115"/>
      <c r="D110" s="58"/>
      <c r="J110" s="58"/>
    </row>
  </sheetData>
  <mergeCells count="6">
    <mergeCell ref="A1:E1"/>
    <mergeCell ref="G5:I5"/>
    <mergeCell ref="G6:I6"/>
    <mergeCell ref="G9:I9"/>
    <mergeCell ref="G10:I10"/>
    <mergeCell ref="G12:I12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Link</cp:lastModifiedBy>
  <dcterms:modified xsi:type="dcterms:W3CDTF">2010-01-30T10:55:59Z</dcterms:modified>
  <cp:category/>
  <cp:version/>
  <cp:contentType/>
  <cp:contentStatus/>
</cp:coreProperties>
</file>